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<sst xmlns="http://schemas.openxmlformats.org/spreadsheetml/2006/main" count="162" uniqueCount="104">
  <si>
    <t>Исполнение тарифной сметы, утвержденной на услуги подачи воды по Теректинскому производственно-эксплуатационному участку ТОО «Батыс су арнасы» за 2015 год</t>
  </si>
  <si>
    <t>№ п/п</t>
  </si>
  <si>
    <t>Наименование статей затрат</t>
  </si>
  <si>
    <t>ед.изм</t>
  </si>
  <si>
    <t>план</t>
  </si>
  <si>
    <t>факт</t>
  </si>
  <si>
    <t>отклонения в тыс.тенге</t>
  </si>
  <si>
    <t>отклонения в %</t>
  </si>
  <si>
    <t>Примечание</t>
  </si>
  <si>
    <t>Затраты на производство товаров и предоставление услуг,всего</t>
  </si>
  <si>
    <t>тыс.тенге</t>
  </si>
  <si>
    <t>Матер затраты, всего в том числе:</t>
  </si>
  <si>
    <t>1.1</t>
  </si>
  <si>
    <t>Сырье и материалы</t>
  </si>
  <si>
    <t>457,9</t>
  </si>
  <si>
    <t>оплата согласно счетов</t>
  </si>
  <si>
    <t>1.2</t>
  </si>
  <si>
    <t>Хим.реагенты</t>
  </si>
  <si>
    <t>640</t>
  </si>
  <si>
    <t>1.3</t>
  </si>
  <si>
    <t>ГСМ</t>
  </si>
  <si>
    <t>53,15</t>
  </si>
  <si>
    <t>рост стоимости ГСМ</t>
  </si>
  <si>
    <t>1.4</t>
  </si>
  <si>
    <t>Электроэнергия</t>
  </si>
  <si>
    <t>1806,35</t>
  </si>
  <si>
    <t>Затраты на оплату труда всего</t>
  </si>
  <si>
    <t>2.1</t>
  </si>
  <si>
    <t>Заработная плата</t>
  </si>
  <si>
    <t>15318,23</t>
  </si>
  <si>
    <t>увеличение на коэфф.инфляции</t>
  </si>
  <si>
    <t>2.2</t>
  </si>
  <si>
    <t>Социальный налог, соц.отчислен</t>
  </si>
  <si>
    <t>1516,51</t>
  </si>
  <si>
    <t>увеличение ФОП</t>
  </si>
  <si>
    <t>2.3</t>
  </si>
  <si>
    <t>Обязательные профессиональные пенсионные взносы</t>
  </si>
  <si>
    <t>Амортизация</t>
  </si>
  <si>
    <t>2390,75</t>
  </si>
  <si>
    <t>вып.инв.прогр.и рекостр.ОС</t>
  </si>
  <si>
    <t xml:space="preserve">Ремонт, всего </t>
  </si>
  <si>
    <t>согласно факт.выполн.работ</t>
  </si>
  <si>
    <t>В том числе ремонт не приводящий к увеличению стоимости основных средств</t>
  </si>
  <si>
    <t>1939,3</t>
  </si>
  <si>
    <t>Прочие услуги</t>
  </si>
  <si>
    <t>5.1</t>
  </si>
  <si>
    <t>услуги связи</t>
  </si>
  <si>
    <t>175,45</t>
  </si>
  <si>
    <t>снижение затрат</t>
  </si>
  <si>
    <t>5.2</t>
  </si>
  <si>
    <t>Эксплуатационные расходы, технический осмотр</t>
  </si>
  <si>
    <t>18,15</t>
  </si>
  <si>
    <t>не были утв.</t>
  </si>
  <si>
    <t>5.3</t>
  </si>
  <si>
    <t>Охрана труда</t>
  </si>
  <si>
    <t>рост стоим.спец.одеж.и хоз.товаров</t>
  </si>
  <si>
    <t>5.4</t>
  </si>
  <si>
    <t>Транспортные услуги</t>
  </si>
  <si>
    <t>Расходы периода всего</t>
  </si>
  <si>
    <t>Общие и администр расходы</t>
  </si>
  <si>
    <t>7.1</t>
  </si>
  <si>
    <t>Зар.плата адм.персонала</t>
  </si>
  <si>
    <t>4154,75</t>
  </si>
  <si>
    <t>7.2</t>
  </si>
  <si>
    <t>411,32</t>
  </si>
  <si>
    <t>7.3</t>
  </si>
  <si>
    <t>командировочные расходы</t>
  </si>
  <si>
    <t>181,25</t>
  </si>
  <si>
    <t>согласно факт.затрат</t>
  </si>
  <si>
    <t>7.4</t>
  </si>
  <si>
    <t xml:space="preserve">Канцтовары </t>
  </si>
  <si>
    <t>144,65</t>
  </si>
  <si>
    <t>оплаты по факту</t>
  </si>
  <si>
    <t>7.5</t>
  </si>
  <si>
    <t>Подписка, объявления</t>
  </si>
  <si>
    <t>26,95</t>
  </si>
  <si>
    <t>затраты согласно договора</t>
  </si>
  <si>
    <t>7.6</t>
  </si>
  <si>
    <t>Услуги банка</t>
  </si>
  <si>
    <t>958,4</t>
  </si>
  <si>
    <t>7.7</t>
  </si>
  <si>
    <t>Страхование транспорта</t>
  </si>
  <si>
    <t>56,1</t>
  </si>
  <si>
    <t>7.8</t>
  </si>
  <si>
    <t>налог НДПИ</t>
  </si>
  <si>
    <t>467,1</t>
  </si>
  <si>
    <t>увеличение объема добычи</t>
  </si>
  <si>
    <t>7.9</t>
  </si>
  <si>
    <t>Налог на имущество, на транспорт</t>
  </si>
  <si>
    <t>118,45</t>
  </si>
  <si>
    <t>по факту согласно расчета</t>
  </si>
  <si>
    <t>7.10</t>
  </si>
  <si>
    <t>Поверка средств измерений</t>
  </si>
  <si>
    <t>Всего затрат</t>
  </si>
  <si>
    <t>Прибыль</t>
  </si>
  <si>
    <t>1138,93</t>
  </si>
  <si>
    <t>Всего доходов</t>
  </si>
  <si>
    <t>Объем оказываемыз услуг</t>
  </si>
  <si>
    <t>тыс.м³</t>
  </si>
  <si>
    <t>Нормативные потери</t>
  </si>
  <si>
    <t>%</t>
  </si>
  <si>
    <t>Себестоимость</t>
  </si>
  <si>
    <t>тенге/м³</t>
  </si>
  <si>
    <t>Тариф без(НДС)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</si>
</sst>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20" applyFont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6" fillId="0" borderId="3" xfId="20" applyFont="1" applyBorder="1" applyAlignment="1">
      <alignment horizontal="center" vertical="center" wrapText="1"/>
      <protection/>
    </xf>
    <xf numFmtId="165" fontId="5" fillId="0" borderId="1" xfId="20" applyNumberFormat="1" applyFont="1" applyBorder="1" applyAlignment="1">
      <alignment horizontal="center" vertical="center" wrapText="1"/>
      <protection/>
    </xf>
    <xf numFmtId="166" fontId="5" fillId="0" borderId="1" xfId="20" applyNumberFormat="1" applyFont="1" applyBorder="1" applyAlignment="1">
      <alignment horizontal="center" vertical="center" wrapText="1"/>
      <protection/>
    </xf>
    <xf numFmtId="164" fontId="7" fillId="0" borderId="4" xfId="20" applyFont="1" applyBorder="1" applyAlignment="1">
      <alignment wrapText="1"/>
      <protection/>
    </xf>
    <xf numFmtId="164" fontId="7" fillId="0" borderId="5" xfId="20" applyFont="1" applyBorder="1" applyAlignment="1">
      <alignment wrapText="1"/>
      <protection/>
    </xf>
    <xf numFmtId="165" fontId="8" fillId="0" borderId="1" xfId="20" applyNumberFormat="1" applyFont="1" applyBorder="1" applyAlignment="1">
      <alignment horizontal="center" vertical="center" wrapText="1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6" fontId="8" fillId="0" borderId="6" xfId="20" applyNumberFormat="1" applyFont="1" applyBorder="1" applyAlignment="1">
      <alignment horizontal="center" vertical="center" wrapText="1"/>
      <protection/>
    </xf>
    <xf numFmtId="166" fontId="8" fillId="0" borderId="1" xfId="20" applyNumberFormat="1" applyFont="1" applyFill="1" applyBorder="1" applyAlignment="1">
      <alignment horizontal="center" vertical="center" wrapText="1"/>
      <protection/>
    </xf>
    <xf numFmtId="166" fontId="8" fillId="2" borderId="1" xfId="20" applyNumberFormat="1" applyFont="1" applyFill="1" applyBorder="1" applyAlignment="1">
      <alignment horizontal="center" vertical="center" wrapText="1"/>
      <protection/>
    </xf>
    <xf numFmtId="166" fontId="8" fillId="0" borderId="1" xfId="20" applyNumberFormat="1" applyFont="1" applyBorder="1" applyAlignment="1">
      <alignment horizontal="center"/>
      <protection/>
    </xf>
    <xf numFmtId="166" fontId="8" fillId="0" borderId="1" xfId="20" applyNumberFormat="1" applyFont="1" applyBorder="1" applyAlignment="1">
      <alignment vertical="center"/>
      <protection/>
    </xf>
    <xf numFmtId="164" fontId="2" fillId="0" borderId="4" xfId="20" applyFont="1" applyBorder="1" applyAlignment="1">
      <alignment horizontal="center" wrapText="1"/>
      <protection/>
    </xf>
    <xf numFmtId="166" fontId="8" fillId="0" borderId="7" xfId="20" applyNumberFormat="1" applyFont="1" applyBorder="1" applyAlignment="1">
      <alignment horizontal="center"/>
      <protection/>
    </xf>
    <xf numFmtId="164" fontId="2" fillId="0" borderId="8" xfId="20" applyFont="1" applyBorder="1" applyAlignment="1">
      <alignment horizontal="center" wrapText="1"/>
      <protection/>
    </xf>
    <xf numFmtId="166" fontId="8" fillId="0" borderId="3" xfId="20" applyNumberFormat="1" applyFont="1" applyBorder="1" applyAlignment="1">
      <alignment horizontal="center"/>
      <protection/>
    </xf>
    <xf numFmtId="164" fontId="1" fillId="0" borderId="9" xfId="20" applyFont="1" applyBorder="1" applyAlignment="1">
      <alignment horizontal="center" wrapText="1"/>
      <protection/>
    </xf>
    <xf numFmtId="164" fontId="7" fillId="0" borderId="10" xfId="20" applyFont="1" applyBorder="1" applyAlignment="1">
      <alignment wrapText="1"/>
      <protection/>
    </xf>
    <xf numFmtId="166" fontId="8" fillId="0" borderId="3" xfId="20" applyNumberFormat="1" applyFont="1" applyBorder="1" applyAlignment="1">
      <alignment horizontal="center" vertical="center" wrapText="1"/>
      <protection/>
    </xf>
    <xf numFmtId="164" fontId="2" fillId="0" borderId="10" xfId="20" applyFont="1" applyBorder="1" applyAlignment="1">
      <alignment horizontal="center" wrapText="1"/>
      <protection/>
    </xf>
    <xf numFmtId="166" fontId="5" fillId="0" borderId="6" xfId="20" applyNumberFormat="1" applyFont="1" applyBorder="1" applyAlignment="1">
      <alignment horizontal="center" vertical="center" wrapText="1"/>
      <protection/>
    </xf>
    <xf numFmtId="166" fontId="5" fillId="0" borderId="3" xfId="20" applyNumberFormat="1" applyFont="1" applyBorder="1" applyAlignment="1">
      <alignment horizontal="center" vertical="center" wrapText="1"/>
      <protection/>
    </xf>
    <xf numFmtId="166" fontId="5" fillId="2" borderId="1" xfId="20" applyNumberFormat="1" applyFont="1" applyFill="1" applyBorder="1" applyAlignment="1">
      <alignment horizontal="center" vertical="center" wrapText="1"/>
      <protection/>
    </xf>
    <xf numFmtId="166" fontId="8" fillId="0" borderId="1" xfId="20" applyNumberFormat="1" applyFont="1" applyBorder="1" applyAlignment="1">
      <alignment vertical="center"/>
      <protection/>
    </xf>
    <xf numFmtId="166" fontId="5" fillId="2" borderId="3" xfId="20" applyNumberFormat="1" applyFont="1" applyFill="1" applyBorder="1" applyAlignment="1">
      <alignment horizontal="center" vertical="center" wrapText="1"/>
      <protection/>
    </xf>
    <xf numFmtId="166" fontId="8" fillId="0" borderId="3" xfId="20" applyNumberFormat="1" applyFont="1" applyBorder="1" applyAlignment="1">
      <alignment horizontal="center" vertic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Border="1" applyAlignment="1">
      <alignment wrapText="1"/>
      <protection/>
    </xf>
    <xf numFmtId="164" fontId="7" fillId="0" borderId="11" xfId="20" applyFont="1" applyBorder="1" applyAlignment="1">
      <alignment wrapText="1"/>
      <protection/>
    </xf>
    <xf numFmtId="165" fontId="8" fillId="0" borderId="6" xfId="20" applyNumberFormat="1" applyFont="1" applyBorder="1" applyAlignment="1">
      <alignment horizontal="center" vertical="center" wrapText="1"/>
      <protection/>
    </xf>
    <xf numFmtId="166" fontId="8" fillId="2" borderId="2" xfId="20" applyNumberFormat="1" applyFont="1" applyFill="1" applyBorder="1" applyAlignment="1">
      <alignment horizontal="center" vertical="center" wrapText="1"/>
      <protection/>
    </xf>
    <xf numFmtId="166" fontId="8" fillId="0" borderId="2" xfId="20" applyNumberFormat="1" applyFont="1" applyBorder="1" applyAlignment="1">
      <alignment horizontal="center"/>
      <protection/>
    </xf>
    <xf numFmtId="166" fontId="8" fillId="0" borderId="2" xfId="20" applyNumberFormat="1" applyFont="1" applyBorder="1" applyAlignment="1">
      <alignment horizontal="center" vertical="center" wrapText="1"/>
      <protection/>
    </xf>
    <xf numFmtId="166" fontId="8" fillId="2" borderId="3" xfId="20" applyNumberFormat="1" applyFont="1" applyFill="1" applyBorder="1" applyAlignment="1">
      <alignment horizontal="center" vertical="center" wrapText="1"/>
      <protection/>
    </xf>
    <xf numFmtId="166" fontId="8" fillId="0" borderId="12" xfId="20" applyNumberFormat="1" applyFont="1" applyBorder="1" applyAlignment="1">
      <alignment horizontal="center"/>
      <protection/>
    </xf>
    <xf numFmtId="166" fontId="8" fillId="0" borderId="0" xfId="20" applyNumberFormat="1" applyFont="1" applyBorder="1" applyAlignment="1">
      <alignment horizontal="center"/>
      <protection/>
    </xf>
    <xf numFmtId="166" fontId="8" fillId="0" borderId="13" xfId="20" applyNumberFormat="1" applyFont="1" applyBorder="1" applyAlignment="1">
      <alignment horizontal="center" vertical="center" wrapText="1"/>
      <protection/>
    </xf>
    <xf numFmtId="166" fontId="5" fillId="0" borderId="7" xfId="20" applyNumberFormat="1" applyFont="1" applyBorder="1" applyAlignment="1">
      <alignment horizontal="center" vertical="center" wrapText="1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5" fillId="0" borderId="6" xfId="20" applyFont="1" applyBorder="1" applyAlignment="1">
      <alignment horizontal="center" vertical="center" wrapText="1"/>
      <protection/>
    </xf>
    <xf numFmtId="164" fontId="4" fillId="0" borderId="1" xfId="20" applyBorder="1">
      <alignment/>
      <protection/>
    </xf>
    <xf numFmtId="164" fontId="8" fillId="0" borderId="3" xfId="20" applyFont="1" applyBorder="1" applyAlignment="1">
      <alignment horizontal="center"/>
      <protection/>
    </xf>
    <xf numFmtId="164" fontId="8" fillId="0" borderId="1" xfId="20" applyFont="1" applyBorder="1" applyAlignment="1">
      <alignment horizontal="center"/>
      <protection/>
    </xf>
    <xf numFmtId="164" fontId="7" fillId="0" borderId="8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89;&#1087;&#1086;&#1083;&#1085;&#1077;&#1085;&#1080;&#1077;%20&#1090;&#1072;&#1088;&#1080;&#1092;&#1085;&#1086;&#1081;%20&#1089;&#1084;&#1077;&#1090;&#1099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"/>
      <sheetName val="Сводная за год"/>
      <sheetName val="2015 год"/>
    </sheetNames>
    <sheetDataSet>
      <sheetData sheetId="1">
        <row r="34">
          <cell r="I34">
            <v>457.02</v>
          </cell>
        </row>
      </sheetData>
      <sheetData sheetId="2">
        <row r="19">
          <cell r="M19" t="str">
            <v>2 полугодие</v>
          </cell>
        </row>
        <row r="20">
          <cell r="M20" t="str">
            <v>Зеленовский ПЭУ</v>
          </cell>
          <cell r="O20" t="str">
            <v>Теректинский ПЭУ</v>
          </cell>
        </row>
        <row r="21">
          <cell r="M21" t="str">
            <v>план</v>
          </cell>
          <cell r="O21" t="str">
            <v>план</v>
          </cell>
        </row>
        <row r="25">
          <cell r="M25">
            <v>124.1</v>
          </cell>
          <cell r="O25">
            <v>124.11</v>
          </cell>
        </row>
        <row r="26">
          <cell r="M26">
            <v>765.22</v>
          </cell>
          <cell r="O26">
            <v>1916.95</v>
          </cell>
        </row>
        <row r="27">
          <cell r="M27">
            <v>1023.17</v>
          </cell>
          <cell r="O27">
            <v>2176.23</v>
          </cell>
        </row>
        <row r="28">
          <cell r="M28">
            <v>25134.170000000002</v>
          </cell>
          <cell r="O28">
            <v>41471.37</v>
          </cell>
        </row>
        <row r="29">
          <cell r="M29">
            <v>22870.04</v>
          </cell>
          <cell r="O29">
            <v>37735.55</v>
          </cell>
        </row>
        <row r="30">
          <cell r="M30">
            <v>2264.13</v>
          </cell>
          <cell r="O30">
            <v>3735.82</v>
          </cell>
        </row>
        <row r="32">
          <cell r="M32">
            <v>1554.8</v>
          </cell>
          <cell r="O32">
            <v>2260.91</v>
          </cell>
        </row>
        <row r="33">
          <cell r="M33">
            <v>2250</v>
          </cell>
          <cell r="O33">
            <v>1100</v>
          </cell>
        </row>
        <row r="35">
          <cell r="M35">
            <v>498.68999999999994</v>
          </cell>
        </row>
      </sheetData>
      <sheetData sheetId="3">
        <row r="20">
          <cell r="G20" t="str">
            <v>всего план на 2015 год</v>
          </cell>
          <cell r="M20" t="str">
            <v>Всего план на 2015 год</v>
          </cell>
        </row>
        <row r="24">
          <cell r="G24">
            <v>764.1</v>
          </cell>
          <cell r="M24">
            <v>729.0600000000001</v>
          </cell>
        </row>
        <row r="25">
          <cell r="G25">
            <v>818.37</v>
          </cell>
          <cell r="M25">
            <v>2366.95</v>
          </cell>
        </row>
        <row r="26">
          <cell r="G26">
            <v>2829.52</v>
          </cell>
          <cell r="M26">
            <v>5556.030000000001</v>
          </cell>
        </row>
        <row r="27">
          <cell r="G27">
            <v>41968.91</v>
          </cell>
          <cell r="M27">
            <v>62612.67</v>
          </cell>
        </row>
        <row r="28">
          <cell r="G28">
            <v>38188.270000000004</v>
          </cell>
          <cell r="M28">
            <v>56972.4</v>
          </cell>
        </row>
        <row r="29">
          <cell r="G29">
            <v>3780.6400000000003</v>
          </cell>
          <cell r="M29">
            <v>5640.27</v>
          </cell>
        </row>
        <row r="30">
          <cell r="G30">
            <v>0</v>
          </cell>
          <cell r="M30">
            <v>0</v>
          </cell>
        </row>
        <row r="31">
          <cell r="G31">
            <v>3945.55</v>
          </cell>
          <cell r="M31">
            <v>13294.41</v>
          </cell>
        </row>
        <row r="32">
          <cell r="G32">
            <v>4189.3</v>
          </cell>
          <cell r="M32">
            <v>1100</v>
          </cell>
        </row>
        <row r="33">
          <cell r="M33">
            <v>1100</v>
          </cell>
        </row>
        <row r="34">
          <cell r="G34">
            <v>692.29</v>
          </cell>
        </row>
        <row r="35">
          <cell r="M35">
            <v>299.1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4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25.00390625" style="0" customWidth="1"/>
    <col min="4" max="21" width="0" style="0" hidden="1" customWidth="1"/>
    <col min="22" max="22" width="11.25390625" style="0" customWidth="1"/>
    <col min="23" max="23" width="12.375" style="0" customWidth="1"/>
    <col min="24" max="26" width="0" style="0" hidden="1" customWidth="1"/>
    <col min="27" max="27" width="13.00390625" style="0" customWidth="1"/>
    <col min="28" max="28" width="22.375" style="1" customWidth="1"/>
  </cols>
  <sheetData>
    <row r="3" spans="2:29" ht="39.7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</row>
    <row r="4" ht="14.25"/>
    <row r="5" spans="1:28" ht="33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5" t="s">
        <v>6</v>
      </c>
      <c r="K5" s="5" t="s">
        <v>7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5" t="s">
        <v>6</v>
      </c>
      <c r="S5" s="5" t="s">
        <v>7</v>
      </c>
      <c r="T5" s="4" t="s">
        <v>4</v>
      </c>
      <c r="U5" s="4" t="s">
        <v>5</v>
      </c>
      <c r="V5" s="4" t="s">
        <v>4</v>
      </c>
      <c r="W5" s="4" t="s">
        <v>5</v>
      </c>
      <c r="X5" s="4" t="s">
        <v>4</v>
      </c>
      <c r="Y5" s="4" t="s">
        <v>5</v>
      </c>
      <c r="Z5" s="5" t="s">
        <v>6</v>
      </c>
      <c r="AA5" s="5" t="s">
        <v>7</v>
      </c>
      <c r="AB5" s="6" t="s">
        <v>8</v>
      </c>
    </row>
    <row r="6" spans="1:28" ht="21.75">
      <c r="A6" s="4">
        <v>1</v>
      </c>
      <c r="B6" s="7" t="s">
        <v>9</v>
      </c>
      <c r="C6" s="7" t="s">
        <v>10</v>
      </c>
      <c r="D6" s="8" t="e">
        <f>D7+D12+D16+D17+D19</f>
        <v>#REF!</v>
      </c>
      <c r="E6" s="8" t="e">
        <f>E7+E12+E16+E17+E19</f>
        <v>#REF!</v>
      </c>
      <c r="F6" s="8" t="e">
        <f>F7+F12+F16+F17+F19</f>
        <v>#REF!</v>
      </c>
      <c r="G6" s="8" t="e">
        <f>G7+G12+G16+G17+G19</f>
        <v>#REF!</v>
      </c>
      <c r="H6" s="8" t="e">
        <f>H7+H12+H16+H17+H19</f>
        <v>#REF!</v>
      </c>
      <c r="I6" s="8" t="e">
        <f>I7+I12+I16+I17+I19</f>
        <v>#REF!</v>
      </c>
      <c r="J6" s="8" t="e">
        <f aca="true" t="shared" si="0" ref="J6:J39">I6-H6</f>
        <v>#REF!</v>
      </c>
      <c r="K6" s="8" t="e">
        <f aca="true" t="shared" si="1" ref="K6:K14">I6*100/H6</f>
        <v>#REF!</v>
      </c>
      <c r="L6" s="8" t="e">
        <f>L7+L12+L16+L17+L19</f>
        <v>#REF!</v>
      </c>
      <c r="M6" s="8" t="e">
        <f>M7+M12+M16+M17+M19</f>
        <v>#REF!</v>
      </c>
      <c r="N6" s="8" t="e">
        <f>N7+N12+N16+N17+N19</f>
        <v>#REF!</v>
      </c>
      <c r="O6" s="8" t="e">
        <f>O7+O12+O16+O17+O19</f>
        <v>#REF!</v>
      </c>
      <c r="P6" s="8" t="e">
        <f>P7+P12+P16+P17+P19</f>
        <v>#REF!</v>
      </c>
      <c r="Q6" s="8" t="e">
        <f>Q7+Q12+Q16+Q17+Q19</f>
        <v>#REF!</v>
      </c>
      <c r="R6" s="8" t="e">
        <f aca="true" t="shared" si="2" ref="R6:R38">Q6-P6</f>
        <v>#REF!</v>
      </c>
      <c r="S6" s="8" t="e">
        <f aca="true" t="shared" si="3" ref="S6:S14">Q6*100/P6</f>
        <v>#REF!</v>
      </c>
      <c r="T6" s="8" t="e">
        <f>T7+T12+T16+T17+T19</f>
        <v>#REF!</v>
      </c>
      <c r="U6" s="8" t="e">
        <f>U7+U12+U16+U17+U19</f>
        <v>#REF!</v>
      </c>
      <c r="V6" s="8">
        <f>V7+V12+V16+V17+V19</f>
        <v>87190.42</v>
      </c>
      <c r="W6" s="8">
        <f>W7+W12+W16+W17+W19</f>
        <v>108361.95999999999</v>
      </c>
      <c r="X6" s="8" t="e">
        <f>X7+X12+X16+X17+X19</f>
        <v>#REF!</v>
      </c>
      <c r="Y6" s="8" t="e">
        <f>Y7+Y12+Y16+Y17+Y19</f>
        <v>#REF!</v>
      </c>
      <c r="Z6" s="8" t="e">
        <f aca="true" t="shared" si="4" ref="Z6:Z38">Y6-X6</f>
        <v>#REF!</v>
      </c>
      <c r="AA6" s="8">
        <f aca="true" t="shared" si="5" ref="AA6:AA14">W6*100/V6</f>
        <v>124.28195666450512</v>
      </c>
      <c r="AB6" s="9"/>
    </row>
    <row r="7" spans="1:28" ht="14.25">
      <c r="A7" s="4">
        <v>1</v>
      </c>
      <c r="B7" s="7" t="s">
        <v>11</v>
      </c>
      <c r="C7" s="7" t="s">
        <v>10</v>
      </c>
      <c r="D7" s="8">
        <f>D8+D9+D10+D11</f>
        <v>2957.4</v>
      </c>
      <c r="E7" s="8">
        <f>E8+E9+E10+E11</f>
        <v>0</v>
      </c>
      <c r="F7" s="8">
        <f>F8+F9+F10+F11</f>
        <v>5239.9</v>
      </c>
      <c r="G7" s="8">
        <f>G8+G9+G10+G11</f>
        <v>0</v>
      </c>
      <c r="H7" s="8">
        <f>H8+H9+H10+H11</f>
        <v>8197.3</v>
      </c>
      <c r="I7" s="8">
        <f>I8+I9+I10+I11</f>
        <v>0</v>
      </c>
      <c r="J7" s="8">
        <f t="shared" si="0"/>
        <v>-8197.3</v>
      </c>
      <c r="K7" s="8">
        <f t="shared" si="1"/>
        <v>0</v>
      </c>
      <c r="L7" s="8">
        <f>L8+L9+L10+L11</f>
        <v>2017.6100000000001</v>
      </c>
      <c r="M7" s="8">
        <f>M8+M9+M10+M11</f>
        <v>1942.6799999999998</v>
      </c>
      <c r="N7" s="8">
        <f>N8+N9+N10+N11</f>
        <v>4400.17</v>
      </c>
      <c r="O7" s="8">
        <f>O8+O9+O10+O11</f>
        <v>4349.42</v>
      </c>
      <c r="P7" s="8">
        <f>P8+P9+P10+P11</f>
        <v>6417.780000000001</v>
      </c>
      <c r="Q7" s="8">
        <f>Q8+Q9+Q10+Q11</f>
        <v>6292.1</v>
      </c>
      <c r="R7" s="8">
        <f t="shared" si="2"/>
        <v>-125.68000000000029</v>
      </c>
      <c r="S7" s="8">
        <f t="shared" si="3"/>
        <v>98.04169042877754</v>
      </c>
      <c r="T7" s="8">
        <f>T8+T9+T10+T11</f>
        <v>4975.01</v>
      </c>
      <c r="U7" s="8">
        <f>U8+U9+U10+U11</f>
        <v>2731.74</v>
      </c>
      <c r="V7" s="8">
        <f>V8+V9+V10+V11</f>
        <v>9640.07</v>
      </c>
      <c r="W7" s="8">
        <f>W8+W9+W10+W11</f>
        <v>9615.39</v>
      </c>
      <c r="X7" s="8">
        <f>X8+X9+X10+X11</f>
        <v>14615.079999999998</v>
      </c>
      <c r="Y7" s="8">
        <f>Y8+Y9+Y10+Y11</f>
        <v>12347.130000000001</v>
      </c>
      <c r="Z7" s="8">
        <f t="shared" si="4"/>
        <v>-2267.949999999997</v>
      </c>
      <c r="AA7" s="8">
        <f t="shared" si="5"/>
        <v>99.7439852615178</v>
      </c>
      <c r="AB7" s="10"/>
    </row>
    <row r="8" spans="1:28" ht="14.25">
      <c r="A8" s="11" t="s">
        <v>12</v>
      </c>
      <c r="B8" s="11" t="s">
        <v>13</v>
      </c>
      <c r="C8" s="11" t="s">
        <v>10</v>
      </c>
      <c r="D8" s="11" t="s">
        <v>14</v>
      </c>
      <c r="E8" s="12">
        <f>'[1]2015 год'!G5-'[1]Сводная за год'!M6</f>
        <v>0</v>
      </c>
      <c r="F8" s="12">
        <v>805.15</v>
      </c>
      <c r="G8" s="12">
        <f>'[1]2015 год'!M5-'[1]Сводная за год'!O6</f>
        <v>0</v>
      </c>
      <c r="H8" s="12">
        <f aca="true" t="shared" si="6" ref="H8:H11">D8+F8</f>
        <v>1263.05</v>
      </c>
      <c r="I8" s="13">
        <f aca="true" t="shared" si="7" ref="I8:I11">E8+G8</f>
        <v>0</v>
      </c>
      <c r="J8" s="8">
        <f t="shared" si="0"/>
        <v>-1263.05</v>
      </c>
      <c r="K8" s="12">
        <f t="shared" si="1"/>
        <v>0</v>
      </c>
      <c r="L8" s="14">
        <v>105.12</v>
      </c>
      <c r="M8" s="15">
        <f>42.65+49.61</f>
        <v>92.25999999999999</v>
      </c>
      <c r="N8" s="16">
        <v>182.88</v>
      </c>
      <c r="O8" s="13">
        <f>18.96+33.23</f>
        <v>52.19</v>
      </c>
      <c r="P8" s="12">
        <f aca="true" t="shared" si="8" ref="P8:P11">L8+N8</f>
        <v>288</v>
      </c>
      <c r="Q8" s="13">
        <f aca="true" t="shared" si="9" ref="Q8:Q11">M8+O8</f>
        <v>144.45</v>
      </c>
      <c r="R8" s="8">
        <f t="shared" si="2"/>
        <v>-143.55</v>
      </c>
      <c r="S8" s="12">
        <f t="shared" si="3"/>
        <v>50.15624999999999</v>
      </c>
      <c r="T8" s="12">
        <f aca="true" t="shared" si="10" ref="T8:T11">D8+L8</f>
        <v>563.02</v>
      </c>
      <c r="U8" s="12">
        <f aca="true" t="shared" si="11" ref="U8:U11">E7+M7</f>
        <v>1942.6799999999998</v>
      </c>
      <c r="V8" s="12">
        <v>988.03</v>
      </c>
      <c r="W8" s="12">
        <v>257.95</v>
      </c>
      <c r="X8" s="17">
        <f aca="true" t="shared" si="12" ref="X8:X11">T8+V8</f>
        <v>1551.05</v>
      </c>
      <c r="Y8" s="17">
        <f aca="true" t="shared" si="13" ref="Y8:Y11">U8+W8</f>
        <v>2200.6299999999997</v>
      </c>
      <c r="Z8" s="8">
        <f t="shared" si="4"/>
        <v>649.5799999999997</v>
      </c>
      <c r="AA8" s="8">
        <f t="shared" si="5"/>
        <v>26.10750685707924</v>
      </c>
      <c r="AB8" s="18" t="s">
        <v>15</v>
      </c>
    </row>
    <row r="9" spans="1:28" ht="14.25">
      <c r="A9" s="11" t="s">
        <v>16</v>
      </c>
      <c r="B9" s="11" t="s">
        <v>17</v>
      </c>
      <c r="C9" s="11" t="s">
        <v>10</v>
      </c>
      <c r="D9" s="11" t="s">
        <v>18</v>
      </c>
      <c r="E9" s="12">
        <f>'[1]2015 год'!G6-'[1]Сводная за год'!M7</f>
        <v>0</v>
      </c>
      <c r="F9" s="12">
        <v>604.95</v>
      </c>
      <c r="G9" s="12">
        <f>'[1]2015 год'!M6-'[1]Сводная за год'!O7</f>
        <v>0</v>
      </c>
      <c r="H9" s="12">
        <f t="shared" si="6"/>
        <v>1244.95</v>
      </c>
      <c r="I9" s="13">
        <f t="shared" si="7"/>
        <v>0</v>
      </c>
      <c r="J9" s="8">
        <f t="shared" si="0"/>
        <v>-1244.95</v>
      </c>
      <c r="K9" s="12">
        <f t="shared" si="1"/>
        <v>0</v>
      </c>
      <c r="L9" s="19">
        <v>124.1</v>
      </c>
      <c r="M9" s="15">
        <v>58.71</v>
      </c>
      <c r="N9" s="16">
        <v>124.11</v>
      </c>
      <c r="O9" s="12">
        <v>442.88</v>
      </c>
      <c r="P9" s="12">
        <f t="shared" si="8"/>
        <v>248.20999999999998</v>
      </c>
      <c r="Q9" s="13">
        <f t="shared" si="9"/>
        <v>501.59</v>
      </c>
      <c r="R9" s="8">
        <f t="shared" si="2"/>
        <v>253.38</v>
      </c>
      <c r="S9" s="12">
        <f t="shared" si="3"/>
        <v>202.08291366181865</v>
      </c>
      <c r="T9" s="12">
        <f t="shared" si="10"/>
        <v>764.1</v>
      </c>
      <c r="U9" s="12">
        <f t="shared" si="11"/>
        <v>92.25999999999999</v>
      </c>
      <c r="V9" s="12">
        <v>729.06</v>
      </c>
      <c r="W9" s="12">
        <v>448.05</v>
      </c>
      <c r="X9" s="17">
        <f t="shared" si="12"/>
        <v>1493.1599999999999</v>
      </c>
      <c r="Y9" s="17">
        <f t="shared" si="13"/>
        <v>540.31</v>
      </c>
      <c r="Z9" s="8">
        <f t="shared" si="4"/>
        <v>-952.8499999999999</v>
      </c>
      <c r="AA9" s="8">
        <f t="shared" si="5"/>
        <v>61.45584725536993</v>
      </c>
      <c r="AB9" s="20" t="s">
        <v>15</v>
      </c>
    </row>
    <row r="10" spans="1:28" ht="14.25">
      <c r="A10" s="11" t="s">
        <v>19</v>
      </c>
      <c r="B10" s="11" t="s">
        <v>20</v>
      </c>
      <c r="C10" s="11" t="s">
        <v>10</v>
      </c>
      <c r="D10" s="11" t="s">
        <v>21</v>
      </c>
      <c r="E10" s="12">
        <f>'[1]2015 год'!G7-'[1]Сводная за год'!M8</f>
        <v>0</v>
      </c>
      <c r="F10" s="12">
        <v>450</v>
      </c>
      <c r="G10" s="12">
        <f>'[1]2015 год'!M7-'[1]Сводная за год'!O8</f>
        <v>0</v>
      </c>
      <c r="H10" s="12">
        <f t="shared" si="6"/>
        <v>503.15</v>
      </c>
      <c r="I10" s="13">
        <f t="shared" si="7"/>
        <v>0</v>
      </c>
      <c r="J10" s="8">
        <f t="shared" si="0"/>
        <v>-503.15</v>
      </c>
      <c r="K10" s="12">
        <f t="shared" si="1"/>
        <v>0</v>
      </c>
      <c r="L10" s="21">
        <v>765.22</v>
      </c>
      <c r="M10" s="15">
        <v>638.09</v>
      </c>
      <c r="N10" s="16">
        <v>1916.95</v>
      </c>
      <c r="O10" s="12">
        <v>1142.83</v>
      </c>
      <c r="P10" s="12">
        <f t="shared" si="8"/>
        <v>2682.17</v>
      </c>
      <c r="Q10" s="13">
        <f t="shared" si="9"/>
        <v>1780.92</v>
      </c>
      <c r="R10" s="8">
        <f t="shared" si="2"/>
        <v>-901.25</v>
      </c>
      <c r="S10" s="12">
        <f t="shared" si="3"/>
        <v>66.39847586096332</v>
      </c>
      <c r="T10" s="12">
        <f t="shared" si="10"/>
        <v>818.37</v>
      </c>
      <c r="U10" s="12">
        <f t="shared" si="11"/>
        <v>58.71</v>
      </c>
      <c r="V10" s="12">
        <v>2366.95</v>
      </c>
      <c r="W10" s="12">
        <v>3000.69</v>
      </c>
      <c r="X10" s="17">
        <f t="shared" si="12"/>
        <v>3185.3199999999997</v>
      </c>
      <c r="Y10" s="17">
        <f t="shared" si="13"/>
        <v>3059.4</v>
      </c>
      <c r="Z10" s="8">
        <f t="shared" si="4"/>
        <v>-125.91999999999962</v>
      </c>
      <c r="AA10" s="8">
        <f t="shared" si="5"/>
        <v>126.77454107606837</v>
      </c>
      <c r="AB10" s="22" t="s">
        <v>22</v>
      </c>
    </row>
    <row r="11" spans="1:28" ht="14.25">
      <c r="A11" s="11" t="s">
        <v>23</v>
      </c>
      <c r="B11" s="11" t="s">
        <v>24</v>
      </c>
      <c r="C11" s="11" t="s">
        <v>10</v>
      </c>
      <c r="D11" s="11" t="s">
        <v>25</v>
      </c>
      <c r="E11" s="12">
        <f>'[1]2015 год'!G8-'[1]Сводная за год'!M9</f>
        <v>0</v>
      </c>
      <c r="F11" s="12">
        <v>3379.8</v>
      </c>
      <c r="G11" s="12">
        <f>'[1]2015 год'!M8-'[1]Сводная за год'!O9</f>
        <v>0</v>
      </c>
      <c r="H11" s="12">
        <f t="shared" si="6"/>
        <v>5186.15</v>
      </c>
      <c r="I11" s="13">
        <f t="shared" si="7"/>
        <v>0</v>
      </c>
      <c r="J11" s="8">
        <f t="shared" si="0"/>
        <v>-5186.15</v>
      </c>
      <c r="K11" s="12">
        <f t="shared" si="1"/>
        <v>0</v>
      </c>
      <c r="L11" s="19">
        <v>1023.17</v>
      </c>
      <c r="M11" s="15">
        <v>1153.62</v>
      </c>
      <c r="N11" s="16">
        <v>2176.23</v>
      </c>
      <c r="O11" s="12">
        <v>2711.52</v>
      </c>
      <c r="P11" s="12">
        <f t="shared" si="8"/>
        <v>3199.4</v>
      </c>
      <c r="Q11" s="13">
        <f t="shared" si="9"/>
        <v>3865.14</v>
      </c>
      <c r="R11" s="8">
        <f t="shared" si="2"/>
        <v>665.7399999999998</v>
      </c>
      <c r="S11" s="12">
        <f t="shared" si="3"/>
        <v>120.80827655185347</v>
      </c>
      <c r="T11" s="12">
        <f t="shared" si="10"/>
        <v>2829.52</v>
      </c>
      <c r="U11" s="12">
        <f t="shared" si="11"/>
        <v>638.09</v>
      </c>
      <c r="V11" s="12">
        <v>5556.03</v>
      </c>
      <c r="W11" s="12">
        <v>5908.7</v>
      </c>
      <c r="X11" s="17">
        <f t="shared" si="12"/>
        <v>8385.55</v>
      </c>
      <c r="Y11" s="17">
        <f t="shared" si="13"/>
        <v>6546.79</v>
      </c>
      <c r="Z11" s="8">
        <f t="shared" si="4"/>
        <v>-1838.7599999999993</v>
      </c>
      <c r="AA11" s="8">
        <f t="shared" si="5"/>
        <v>106.34751792196947</v>
      </c>
      <c r="AB11" s="23"/>
    </row>
    <row r="12" spans="1:28" ht="14.25">
      <c r="A12" s="4">
        <v>2</v>
      </c>
      <c r="B12" s="7" t="s">
        <v>26</v>
      </c>
      <c r="C12" s="7" t="s">
        <v>10</v>
      </c>
      <c r="D12" s="8">
        <f>D13+D14+D15</f>
        <v>16834.739999999998</v>
      </c>
      <c r="E12" s="8">
        <f>E13+E14+E15</f>
        <v>0</v>
      </c>
      <c r="F12" s="8">
        <f>F13+F14+F15</f>
        <v>21141.3</v>
      </c>
      <c r="G12" s="8">
        <f>G13+G14+G15</f>
        <v>0</v>
      </c>
      <c r="H12" s="8">
        <f>H13+H14+H15</f>
        <v>37976.04</v>
      </c>
      <c r="I12" s="8">
        <f>I13+I14+I15</f>
        <v>0</v>
      </c>
      <c r="J12" s="8">
        <f t="shared" si="0"/>
        <v>-37976.04</v>
      </c>
      <c r="K12" s="8">
        <f t="shared" si="1"/>
        <v>0</v>
      </c>
      <c r="L12" s="8">
        <f>L13+L14+L15</f>
        <v>25134.170000000002</v>
      </c>
      <c r="M12" s="8">
        <f>M13+M14+M15</f>
        <v>24717.680000000004</v>
      </c>
      <c r="N12" s="8">
        <f>N13+N14+N15</f>
        <v>41471.37</v>
      </c>
      <c r="O12" s="8">
        <f>O13+O14+O15</f>
        <v>35901.920000000006</v>
      </c>
      <c r="P12" s="8">
        <f>P13+P14+P15</f>
        <v>66605.54000000001</v>
      </c>
      <c r="Q12" s="8">
        <f>Q13+Q14+Q15</f>
        <v>60619.6</v>
      </c>
      <c r="R12" s="8">
        <f t="shared" si="2"/>
        <v>-5985.94000000001</v>
      </c>
      <c r="S12" s="8">
        <f t="shared" si="3"/>
        <v>91.0128496818733</v>
      </c>
      <c r="T12" s="8">
        <f>T13+T14+T15</f>
        <v>83937.82</v>
      </c>
      <c r="U12" s="8">
        <f>U13+U14+U15</f>
        <v>49412.16000000001</v>
      </c>
      <c r="V12" s="8">
        <f>V13+V14+V15</f>
        <v>62612.67</v>
      </c>
      <c r="W12" s="8">
        <f>W13+W14+W15</f>
        <v>71704.97</v>
      </c>
      <c r="X12" s="8">
        <f>X13+X14+X15</f>
        <v>146550.49000000002</v>
      </c>
      <c r="Y12" s="8">
        <f>Y13+Y14+Y15</f>
        <v>121117.13</v>
      </c>
      <c r="Z12" s="8">
        <f t="shared" si="4"/>
        <v>-25433.360000000015</v>
      </c>
      <c r="AA12" s="8">
        <f t="shared" si="5"/>
        <v>114.52150179827821</v>
      </c>
      <c r="AB12" s="23"/>
    </row>
    <row r="13" spans="1:28" ht="24.75">
      <c r="A13" s="11" t="s">
        <v>27</v>
      </c>
      <c r="B13" s="11" t="s">
        <v>28</v>
      </c>
      <c r="C13" s="11" t="s">
        <v>10</v>
      </c>
      <c r="D13" s="11" t="s">
        <v>29</v>
      </c>
      <c r="E13" s="12">
        <f>'[1]2015 год'!G10-'[1]Сводная за год'!M11</f>
        <v>0</v>
      </c>
      <c r="F13" s="15">
        <v>19236.85</v>
      </c>
      <c r="G13" s="12">
        <f>'[1]2015 год'!M10-'[1]Сводная за год'!O11</f>
        <v>0</v>
      </c>
      <c r="H13" s="12">
        <f aca="true" t="shared" si="14" ref="H13:H18">D13+F13</f>
        <v>34555.08</v>
      </c>
      <c r="I13" s="13">
        <f aca="true" t="shared" si="15" ref="I13:I18">E13+G13</f>
        <v>0</v>
      </c>
      <c r="J13" s="8">
        <f t="shared" si="0"/>
        <v>-34555.08</v>
      </c>
      <c r="K13" s="12">
        <f t="shared" si="1"/>
        <v>0</v>
      </c>
      <c r="L13" s="24">
        <v>22870.04</v>
      </c>
      <c r="M13" s="15">
        <f>26601.24-4254.02</f>
        <v>22347.22</v>
      </c>
      <c r="N13" s="16">
        <v>37735.55</v>
      </c>
      <c r="O13" s="12">
        <f>36564.41-4126.13</f>
        <v>32438.280000000002</v>
      </c>
      <c r="P13" s="12">
        <f aca="true" t="shared" si="16" ref="P13:P18">L13+N13</f>
        <v>60605.590000000004</v>
      </c>
      <c r="Q13" s="13">
        <f aca="true" t="shared" si="17" ref="Q13:Q18">M13+O13</f>
        <v>54785.5</v>
      </c>
      <c r="R13" s="8">
        <f t="shared" si="2"/>
        <v>-5820.090000000004</v>
      </c>
      <c r="S13" s="12">
        <f t="shared" si="3"/>
        <v>90.39677693097286</v>
      </c>
      <c r="T13" s="12">
        <f aca="true" t="shared" si="18" ref="T13:T18">D12+L12</f>
        <v>41968.91</v>
      </c>
      <c r="U13" s="12">
        <f aca="true" t="shared" si="19" ref="U13:U18">E12+M12</f>
        <v>24717.680000000004</v>
      </c>
      <c r="V13" s="12">
        <v>56972.4</v>
      </c>
      <c r="W13" s="12">
        <v>64887.82</v>
      </c>
      <c r="X13" s="17">
        <f aca="true" t="shared" si="20" ref="X13:X18">T13+V13</f>
        <v>98941.31</v>
      </c>
      <c r="Y13" s="17">
        <f aca="true" t="shared" si="21" ref="Y13:Y18">U13+W13</f>
        <v>89605.5</v>
      </c>
      <c r="Z13" s="8">
        <f t="shared" si="4"/>
        <v>-9335.809999999998</v>
      </c>
      <c r="AA13" s="8">
        <f t="shared" si="5"/>
        <v>113.89342909900232</v>
      </c>
      <c r="AB13" s="25" t="s">
        <v>30</v>
      </c>
    </row>
    <row r="14" spans="1:28" ht="14.25">
      <c r="A14" s="11" t="s">
        <v>31</v>
      </c>
      <c r="B14" s="11" t="s">
        <v>32</v>
      </c>
      <c r="C14" s="11" t="s">
        <v>10</v>
      </c>
      <c r="D14" s="11" t="s">
        <v>33</v>
      </c>
      <c r="E14" s="12">
        <f>'[1]2015 год'!G11-'[1]Сводная за год'!M12</f>
        <v>0</v>
      </c>
      <c r="F14" s="12">
        <v>1904.45</v>
      </c>
      <c r="G14" s="12">
        <f>'[1]2015 год'!M11-'[1]Сводная за год'!O12</f>
        <v>0</v>
      </c>
      <c r="H14" s="12">
        <f t="shared" si="14"/>
        <v>3420.96</v>
      </c>
      <c r="I14" s="13">
        <f t="shared" si="15"/>
        <v>0</v>
      </c>
      <c r="J14" s="8">
        <f t="shared" si="0"/>
        <v>-3420.96</v>
      </c>
      <c r="K14" s="12">
        <f t="shared" si="1"/>
        <v>0</v>
      </c>
      <c r="L14" s="24">
        <v>2264.13</v>
      </c>
      <c r="M14" s="15">
        <f>2773.13-425.87</f>
        <v>2347.26</v>
      </c>
      <c r="N14" s="16">
        <v>3735.82</v>
      </c>
      <c r="O14" s="12">
        <f>3841.86-408.69</f>
        <v>3433.17</v>
      </c>
      <c r="P14" s="12">
        <f t="shared" si="16"/>
        <v>5999.950000000001</v>
      </c>
      <c r="Q14" s="13">
        <f t="shared" si="17"/>
        <v>5780.43</v>
      </c>
      <c r="R14" s="8">
        <f t="shared" si="2"/>
        <v>-219.52000000000044</v>
      </c>
      <c r="S14" s="12">
        <f t="shared" si="3"/>
        <v>96.34130284419035</v>
      </c>
      <c r="T14" s="12">
        <f t="shared" si="18"/>
        <v>38188.270000000004</v>
      </c>
      <c r="U14" s="12">
        <f t="shared" si="19"/>
        <v>22347.22</v>
      </c>
      <c r="V14" s="12">
        <v>5640.27</v>
      </c>
      <c r="W14" s="12">
        <v>6764.26</v>
      </c>
      <c r="X14" s="17">
        <f t="shared" si="20"/>
        <v>43828.54000000001</v>
      </c>
      <c r="Y14" s="17">
        <f t="shared" si="21"/>
        <v>29111.480000000003</v>
      </c>
      <c r="Z14" s="8">
        <f t="shared" si="4"/>
        <v>-14717.060000000005</v>
      </c>
      <c r="AA14" s="8">
        <f t="shared" si="5"/>
        <v>119.92794671177089</v>
      </c>
      <c r="AB14" s="25" t="s">
        <v>34</v>
      </c>
    </row>
    <row r="15" spans="1:28" ht="21.75">
      <c r="A15" s="11" t="s">
        <v>35</v>
      </c>
      <c r="B15" s="11" t="s">
        <v>36</v>
      </c>
      <c r="C15" s="11" t="s">
        <v>10</v>
      </c>
      <c r="D15" s="11"/>
      <c r="E15" s="12">
        <f>'[1]2015 год'!G12-'[1]Сводная за год'!M13</f>
        <v>0</v>
      </c>
      <c r="F15" s="12"/>
      <c r="G15" s="12">
        <f>'[1]2015 год'!M12-'[1]Сводная за год'!O13</f>
        <v>0</v>
      </c>
      <c r="H15" s="12">
        <f t="shared" si="14"/>
        <v>0</v>
      </c>
      <c r="I15" s="13">
        <f t="shared" si="15"/>
        <v>0</v>
      </c>
      <c r="J15" s="8">
        <f t="shared" si="0"/>
        <v>0</v>
      </c>
      <c r="K15" s="12"/>
      <c r="L15" s="24"/>
      <c r="M15" s="15">
        <v>23.2</v>
      </c>
      <c r="N15" s="16"/>
      <c r="O15" s="12">
        <v>30.47</v>
      </c>
      <c r="P15" s="12">
        <f t="shared" si="16"/>
        <v>0</v>
      </c>
      <c r="Q15" s="13">
        <f t="shared" si="17"/>
        <v>53.67</v>
      </c>
      <c r="R15" s="8">
        <f t="shared" si="2"/>
        <v>53.67</v>
      </c>
      <c r="S15" s="12"/>
      <c r="T15" s="12">
        <f t="shared" si="18"/>
        <v>3780.6400000000003</v>
      </c>
      <c r="U15" s="12">
        <f t="shared" si="19"/>
        <v>2347.26</v>
      </c>
      <c r="V15" s="12"/>
      <c r="W15" s="12">
        <v>52.89</v>
      </c>
      <c r="X15" s="17">
        <f t="shared" si="20"/>
        <v>3780.6400000000003</v>
      </c>
      <c r="Y15" s="17">
        <f t="shared" si="21"/>
        <v>2400.15</v>
      </c>
      <c r="Z15" s="8">
        <f t="shared" si="4"/>
        <v>-1380.4900000000002</v>
      </c>
      <c r="AA15" s="8"/>
      <c r="AB15" s="10"/>
    </row>
    <row r="16" spans="1:28" ht="24.75">
      <c r="A16" s="4">
        <v>3</v>
      </c>
      <c r="B16" s="7" t="s">
        <v>37</v>
      </c>
      <c r="C16" s="7" t="s">
        <v>10</v>
      </c>
      <c r="D16" s="7" t="s">
        <v>38</v>
      </c>
      <c r="E16" s="8">
        <f>'[1]2015 год'!G13-'[1]Сводная за год'!M14</f>
        <v>0</v>
      </c>
      <c r="F16" s="8">
        <v>11033.5</v>
      </c>
      <c r="G16" s="8">
        <f>'[1]2015 год'!M13-'[1]Сводная за год'!O14</f>
        <v>0</v>
      </c>
      <c r="H16" s="8">
        <f t="shared" si="14"/>
        <v>13424.25</v>
      </c>
      <c r="I16" s="26">
        <f t="shared" si="15"/>
        <v>0</v>
      </c>
      <c r="J16" s="8">
        <f t="shared" si="0"/>
        <v>-13424.25</v>
      </c>
      <c r="K16" s="8">
        <f aca="true" t="shared" si="22" ref="K16:K21">I16*100/H16</f>
        <v>0</v>
      </c>
      <c r="L16" s="27">
        <v>1554.8</v>
      </c>
      <c r="M16" s="28">
        <v>5464.71</v>
      </c>
      <c r="N16" s="16">
        <v>2260.91</v>
      </c>
      <c r="O16" s="8">
        <v>11544.28</v>
      </c>
      <c r="P16" s="8">
        <f t="shared" si="16"/>
        <v>3815.71</v>
      </c>
      <c r="Q16" s="26">
        <f t="shared" si="17"/>
        <v>17008.99</v>
      </c>
      <c r="R16" s="8">
        <f t="shared" si="2"/>
        <v>13193.280000000002</v>
      </c>
      <c r="S16" s="8">
        <f aca="true" t="shared" si="23" ref="S16:S22">Q16*100/P16</f>
        <v>445.76212552840764</v>
      </c>
      <c r="T16" s="8">
        <f t="shared" si="18"/>
        <v>0</v>
      </c>
      <c r="U16" s="8">
        <f t="shared" si="19"/>
        <v>23.2</v>
      </c>
      <c r="V16" s="8">
        <v>13294.41</v>
      </c>
      <c r="W16" s="8">
        <v>22944.57</v>
      </c>
      <c r="X16" s="29">
        <f t="shared" si="20"/>
        <v>13294.41</v>
      </c>
      <c r="Y16" s="29">
        <f t="shared" si="21"/>
        <v>22967.77</v>
      </c>
      <c r="Z16" s="8">
        <f t="shared" si="4"/>
        <v>9673.36</v>
      </c>
      <c r="AA16" s="8">
        <f aca="true" t="shared" si="24" ref="AA16:AA22">W16*100/V16</f>
        <v>172.5881028191548</v>
      </c>
      <c r="AB16" s="18" t="s">
        <v>39</v>
      </c>
    </row>
    <row r="17" spans="1:28" ht="24.75">
      <c r="A17" s="4">
        <v>4</v>
      </c>
      <c r="B17" s="7" t="s">
        <v>40</v>
      </c>
      <c r="C17" s="7" t="s">
        <v>10</v>
      </c>
      <c r="D17" s="8">
        <v>1939.3</v>
      </c>
      <c r="E17" s="8">
        <f>'[1]2015 год'!G14-'[1]Сводная за год'!M15</f>
        <v>0</v>
      </c>
      <c r="F17" s="28">
        <f>F18</f>
        <v>0</v>
      </c>
      <c r="G17" s="8">
        <f>'[1]2015 год'!M14-'[1]Сводная за год'!O15</f>
        <v>0</v>
      </c>
      <c r="H17" s="8">
        <f t="shared" si="14"/>
        <v>1939.3</v>
      </c>
      <c r="I17" s="26">
        <f t="shared" si="15"/>
        <v>0</v>
      </c>
      <c r="J17" s="8">
        <f t="shared" si="0"/>
        <v>-1939.3</v>
      </c>
      <c r="K17" s="8">
        <f t="shared" si="22"/>
        <v>0</v>
      </c>
      <c r="L17" s="27">
        <f>L18</f>
        <v>2250</v>
      </c>
      <c r="M17" s="30">
        <f>M18</f>
        <v>360.06</v>
      </c>
      <c r="N17" s="28">
        <f>N18</f>
        <v>1100</v>
      </c>
      <c r="O17" s="28">
        <f>O18</f>
        <v>2024.98</v>
      </c>
      <c r="P17" s="8">
        <f t="shared" si="16"/>
        <v>3350</v>
      </c>
      <c r="Q17" s="26">
        <f t="shared" si="17"/>
        <v>2385.04</v>
      </c>
      <c r="R17" s="8">
        <f t="shared" si="2"/>
        <v>-964.96</v>
      </c>
      <c r="S17" s="8">
        <f t="shared" si="23"/>
        <v>71.19522388059701</v>
      </c>
      <c r="T17" s="8">
        <f t="shared" si="18"/>
        <v>3945.55</v>
      </c>
      <c r="U17" s="8">
        <f t="shared" si="19"/>
        <v>5464.71</v>
      </c>
      <c r="V17" s="8">
        <f>V18</f>
        <v>1100</v>
      </c>
      <c r="W17" s="8">
        <f>W18</f>
        <v>2986.66</v>
      </c>
      <c r="X17" s="29">
        <f t="shared" si="20"/>
        <v>5045.55</v>
      </c>
      <c r="Y17" s="29">
        <f t="shared" si="21"/>
        <v>8451.369999999999</v>
      </c>
      <c r="Z17" s="8">
        <f t="shared" si="4"/>
        <v>3405.819999999999</v>
      </c>
      <c r="AA17" s="8">
        <f t="shared" si="24"/>
        <v>271.51454545454544</v>
      </c>
      <c r="AB17" s="20" t="s">
        <v>41</v>
      </c>
    </row>
    <row r="18" spans="1:28" ht="31.5">
      <c r="A18" s="4"/>
      <c r="B18" s="7" t="s">
        <v>42</v>
      </c>
      <c r="C18" s="7" t="s">
        <v>10</v>
      </c>
      <c r="D18" s="7" t="s">
        <v>43</v>
      </c>
      <c r="E18" s="8">
        <f>'[1]2015 год'!G15-'[1]Сводная за год'!M16</f>
        <v>0</v>
      </c>
      <c r="F18" s="8"/>
      <c r="G18" s="8">
        <f>'[1]2015 год'!M15-'[1]Сводная за год'!O16</f>
        <v>0</v>
      </c>
      <c r="H18" s="8">
        <f t="shared" si="14"/>
        <v>1939.3</v>
      </c>
      <c r="I18" s="26">
        <f t="shared" si="15"/>
        <v>0</v>
      </c>
      <c r="J18" s="8">
        <f t="shared" si="0"/>
        <v>-1939.3</v>
      </c>
      <c r="K18" s="8">
        <f t="shared" si="22"/>
        <v>0</v>
      </c>
      <c r="L18" s="31">
        <v>2250</v>
      </c>
      <c r="M18" s="28">
        <v>360.06</v>
      </c>
      <c r="N18" s="32">
        <v>1100</v>
      </c>
      <c r="O18" s="8">
        <v>2024.98</v>
      </c>
      <c r="P18" s="8">
        <f t="shared" si="16"/>
        <v>3350</v>
      </c>
      <c r="Q18" s="26">
        <f t="shared" si="17"/>
        <v>2385.04</v>
      </c>
      <c r="R18" s="8">
        <f t="shared" si="2"/>
        <v>-964.96</v>
      </c>
      <c r="S18" s="8">
        <f t="shared" si="23"/>
        <v>71.19522388059701</v>
      </c>
      <c r="T18" s="8">
        <f t="shared" si="18"/>
        <v>4189.3</v>
      </c>
      <c r="U18" s="8">
        <f t="shared" si="19"/>
        <v>360.06</v>
      </c>
      <c r="V18" s="8">
        <v>1100</v>
      </c>
      <c r="W18" s="8">
        <v>2986.66</v>
      </c>
      <c r="X18" s="29">
        <f t="shared" si="20"/>
        <v>5289.3</v>
      </c>
      <c r="Y18" s="29">
        <f t="shared" si="21"/>
        <v>3346.72</v>
      </c>
      <c r="Z18" s="8">
        <f t="shared" si="4"/>
        <v>-1942.5800000000004</v>
      </c>
      <c r="AA18" s="8">
        <f t="shared" si="24"/>
        <v>271.51454545454544</v>
      </c>
      <c r="AB18" s="33"/>
    </row>
    <row r="19" spans="1:28" ht="14.25">
      <c r="A19" s="4">
        <v>5</v>
      </c>
      <c r="B19" s="7" t="s">
        <v>44</v>
      </c>
      <c r="C19" s="7" t="s">
        <v>10</v>
      </c>
      <c r="D19" s="8" t="e">
        <f>D20+D21+#REF!+D22+D23</f>
        <v>#REF!</v>
      </c>
      <c r="E19" s="8" t="e">
        <f>E20+E21+#REF!+E22+E23</f>
        <v>#REF!</v>
      </c>
      <c r="F19" s="8" t="e">
        <f>F20+F21+#REF!+#REF!+#REF!</f>
        <v>#REF!</v>
      </c>
      <c r="G19" s="8" t="e">
        <f>G20+G21+#REF!+#REF!+#REF!</f>
        <v>#REF!</v>
      </c>
      <c r="H19" s="8" t="e">
        <f>H20+H21+#REF!+#REF!+#REF!</f>
        <v>#REF!</v>
      </c>
      <c r="I19" s="8" t="e">
        <f>I20+I21+#REF!+#REF!+#REF!</f>
        <v>#REF!</v>
      </c>
      <c r="J19" s="8" t="e">
        <f t="shared" si="0"/>
        <v>#REF!</v>
      </c>
      <c r="K19" s="8" t="e">
        <f t="shared" si="22"/>
        <v>#REF!</v>
      </c>
      <c r="L19" s="8" t="e">
        <f>L20+L21+#REF!+#REF!+#REF!</f>
        <v>#REF!</v>
      </c>
      <c r="M19" s="8" t="e">
        <f>M20+M21+#REF!+#REF!+#REF!</f>
        <v>#REF!</v>
      </c>
      <c r="N19" s="8" t="e">
        <f>N20+N21+#REF!+#REF!+#REF!</f>
        <v>#REF!</v>
      </c>
      <c r="O19" s="8" t="e">
        <f>O20+O21+#REF!+#REF!+#REF!</f>
        <v>#REF!</v>
      </c>
      <c r="P19" s="8" t="e">
        <f>P20+P21+#REF!+#REF!+#REF!</f>
        <v>#REF!</v>
      </c>
      <c r="Q19" s="8" t="e">
        <f>Q20+Q21+#REF!+#REF!+#REF!</f>
        <v>#REF!</v>
      </c>
      <c r="R19" s="8" t="e">
        <f t="shared" si="2"/>
        <v>#REF!</v>
      </c>
      <c r="S19" s="8" t="e">
        <f t="shared" si="23"/>
        <v>#REF!</v>
      </c>
      <c r="T19" s="8" t="e">
        <f>T20+T21+#REF!+#REF!+#REF!</f>
        <v>#REF!</v>
      </c>
      <c r="U19" s="8" t="e">
        <f>U20+U21+#REF!+#REF!+#REF!</f>
        <v>#REF!</v>
      </c>
      <c r="V19" s="8">
        <f>V20+V21+V22+V23</f>
        <v>543.2700000000001</v>
      </c>
      <c r="W19" s="8">
        <f>W20+W21+W22+W23</f>
        <v>1110.3700000000001</v>
      </c>
      <c r="X19" s="8" t="e">
        <f>X20+X21+#REF!+#REF!+#REF!</f>
        <v>#REF!</v>
      </c>
      <c r="Y19" s="8" t="e">
        <f>Y20+Y21+#REF!+#REF!+#REF!</f>
        <v>#REF!</v>
      </c>
      <c r="Z19" s="8" t="e">
        <f t="shared" si="4"/>
        <v>#REF!</v>
      </c>
      <c r="AA19" s="8">
        <f t="shared" si="24"/>
        <v>204.38640086881293</v>
      </c>
      <c r="AB19" s="34"/>
    </row>
    <row r="20" spans="1:28" ht="14.25">
      <c r="A20" s="11" t="s">
        <v>45</v>
      </c>
      <c r="B20" s="11" t="s">
        <v>46</v>
      </c>
      <c r="C20" s="11" t="s">
        <v>10</v>
      </c>
      <c r="D20" s="11" t="s">
        <v>47</v>
      </c>
      <c r="E20" s="12">
        <f>'[1]2015 год'!G17-'[1]Сводная за год'!M18</f>
        <v>0</v>
      </c>
      <c r="F20" s="12">
        <v>66.75</v>
      </c>
      <c r="G20" s="12">
        <f>'[1]2015 год'!M17-'[1]Сводная за год'!O18</f>
        <v>0</v>
      </c>
      <c r="H20" s="12">
        <f aca="true" t="shared" si="25" ref="H20:H23">D20+F20</f>
        <v>242.2</v>
      </c>
      <c r="I20" s="13">
        <f aca="true" t="shared" si="26" ref="I20:I23">E20+G20</f>
        <v>0</v>
      </c>
      <c r="J20" s="8">
        <f t="shared" si="0"/>
        <v>-242.2</v>
      </c>
      <c r="K20" s="12">
        <f t="shared" si="22"/>
        <v>0</v>
      </c>
      <c r="L20" s="21">
        <v>85.15</v>
      </c>
      <c r="M20" s="15">
        <f>8.42+78.75+17.9</f>
        <v>105.07</v>
      </c>
      <c r="N20" s="16">
        <v>232.35</v>
      </c>
      <c r="O20" s="12">
        <f>11.96+89.32+29.1</f>
        <v>130.38</v>
      </c>
      <c r="P20" s="12">
        <f aca="true" t="shared" si="27" ref="P20:P23">L20+N20</f>
        <v>317.5</v>
      </c>
      <c r="Q20" s="13">
        <f aca="true" t="shared" si="28" ref="Q20:Q23">M20+O20</f>
        <v>235.45</v>
      </c>
      <c r="R20" s="8">
        <f t="shared" si="2"/>
        <v>-82.05000000000001</v>
      </c>
      <c r="S20" s="12">
        <f t="shared" si="23"/>
        <v>74.15748031496064</v>
      </c>
      <c r="T20" s="12" t="e">
        <f aca="true" t="shared" si="29" ref="T20:T23">D19+L19</f>
        <v>#REF!</v>
      </c>
      <c r="U20" s="12" t="e">
        <f aca="true" t="shared" si="30" ref="U20:U23">E19+M19</f>
        <v>#REF!</v>
      </c>
      <c r="V20" s="12">
        <v>299.1</v>
      </c>
      <c r="W20" s="12">
        <v>376.47</v>
      </c>
      <c r="X20" s="17" t="e">
        <f aca="true" t="shared" si="31" ref="X20:X23">T20+V20</f>
        <v>#REF!</v>
      </c>
      <c r="Y20" s="17" t="e">
        <f aca="true" t="shared" si="32" ref="Y20:Y23">U20+W20</f>
        <v>#REF!</v>
      </c>
      <c r="Z20" s="8" t="e">
        <f t="shared" si="4"/>
        <v>#REF!</v>
      </c>
      <c r="AA20" s="8">
        <f t="shared" si="24"/>
        <v>125.86760280842526</v>
      </c>
      <c r="AB20" s="25" t="s">
        <v>48</v>
      </c>
    </row>
    <row r="21" spans="1:28" ht="21.75">
      <c r="A21" s="11" t="s">
        <v>49</v>
      </c>
      <c r="B21" s="11" t="s">
        <v>50</v>
      </c>
      <c r="C21" s="11" t="s">
        <v>10</v>
      </c>
      <c r="D21" s="11" t="s">
        <v>51</v>
      </c>
      <c r="E21" s="12">
        <f>'[1]2015 год'!G18-'[1]Сводная за год'!M19</f>
        <v>0</v>
      </c>
      <c r="F21" s="12">
        <v>19.5</v>
      </c>
      <c r="G21" s="12">
        <f>'[1]2015 год'!M18-'[1]Сводная за год'!O19</f>
        <v>0</v>
      </c>
      <c r="H21" s="12">
        <f t="shared" si="25"/>
        <v>37.65</v>
      </c>
      <c r="I21" s="13">
        <f t="shared" si="26"/>
        <v>0</v>
      </c>
      <c r="J21" s="8">
        <f t="shared" si="0"/>
        <v>-37.65</v>
      </c>
      <c r="K21" s="12">
        <f t="shared" si="22"/>
        <v>0</v>
      </c>
      <c r="L21" s="19">
        <v>14.83</v>
      </c>
      <c r="M21" s="15"/>
      <c r="N21" s="16">
        <v>14.84</v>
      </c>
      <c r="O21" s="12"/>
      <c r="P21" s="12">
        <f t="shared" si="27"/>
        <v>29.67</v>
      </c>
      <c r="Q21" s="13">
        <f t="shared" si="28"/>
        <v>0</v>
      </c>
      <c r="R21" s="8">
        <f t="shared" si="2"/>
        <v>-29.67</v>
      </c>
      <c r="S21" s="12">
        <f t="shared" si="23"/>
        <v>0</v>
      </c>
      <c r="T21" s="12">
        <f t="shared" si="29"/>
        <v>260.6</v>
      </c>
      <c r="U21" s="12">
        <f t="shared" si="30"/>
        <v>105.07</v>
      </c>
      <c r="V21" s="12">
        <v>34.34</v>
      </c>
      <c r="W21" s="12">
        <v>102.67</v>
      </c>
      <c r="X21" s="17">
        <f t="shared" si="31"/>
        <v>294.94000000000005</v>
      </c>
      <c r="Y21" s="17">
        <f t="shared" si="32"/>
        <v>207.74</v>
      </c>
      <c r="Z21" s="8">
        <f t="shared" si="4"/>
        <v>-87.20000000000005</v>
      </c>
      <c r="AA21" s="8">
        <f t="shared" si="24"/>
        <v>298.9807804309842</v>
      </c>
      <c r="AB21" s="22" t="s">
        <v>52</v>
      </c>
    </row>
    <row r="22" spans="1:28" ht="24.75">
      <c r="A22" s="11" t="s">
        <v>53</v>
      </c>
      <c r="B22" s="11" t="s">
        <v>54</v>
      </c>
      <c r="C22" s="35" t="s">
        <v>10</v>
      </c>
      <c r="D22" s="11"/>
      <c r="E22" s="12">
        <f>'[1]2015 год'!G19-'[1]Сводная за год'!M20</f>
        <v>0</v>
      </c>
      <c r="F22" s="12"/>
      <c r="G22" s="12">
        <f>'[1]2015 год'!M19-'[1]Сводная за год'!O20</f>
        <v>0</v>
      </c>
      <c r="H22" s="12">
        <f t="shared" si="25"/>
        <v>0</v>
      </c>
      <c r="I22" s="13">
        <f t="shared" si="26"/>
        <v>0</v>
      </c>
      <c r="J22" s="8">
        <f t="shared" si="0"/>
        <v>0</v>
      </c>
      <c r="K22" s="12"/>
      <c r="L22" s="19">
        <v>171.67</v>
      </c>
      <c r="M22" s="36">
        <v>220.36</v>
      </c>
      <c r="N22" s="37">
        <v>209.83</v>
      </c>
      <c r="O22" s="38">
        <v>82.39</v>
      </c>
      <c r="P22" s="12">
        <f t="shared" si="27"/>
        <v>381.5</v>
      </c>
      <c r="Q22" s="13">
        <f t="shared" si="28"/>
        <v>302.75</v>
      </c>
      <c r="R22" s="8">
        <f t="shared" si="2"/>
        <v>-78.75</v>
      </c>
      <c r="S22" s="12">
        <f t="shared" si="23"/>
        <v>79.35779816513761</v>
      </c>
      <c r="T22" s="12">
        <f t="shared" si="29"/>
        <v>32.98</v>
      </c>
      <c r="U22" s="12">
        <f t="shared" si="30"/>
        <v>0</v>
      </c>
      <c r="V22" s="12">
        <v>209.83</v>
      </c>
      <c r="W22" s="12">
        <v>489.48</v>
      </c>
      <c r="X22" s="17">
        <f t="shared" si="31"/>
        <v>242.81</v>
      </c>
      <c r="Y22" s="17">
        <f t="shared" si="32"/>
        <v>489.48</v>
      </c>
      <c r="Z22" s="8">
        <f t="shared" si="4"/>
        <v>246.67000000000002</v>
      </c>
      <c r="AA22" s="8">
        <f t="shared" si="24"/>
        <v>233.2745555926226</v>
      </c>
      <c r="AB22" s="25" t="s">
        <v>55</v>
      </c>
    </row>
    <row r="23" spans="1:28" ht="14.25">
      <c r="A23" s="11" t="s">
        <v>56</v>
      </c>
      <c r="B23" s="11" t="s">
        <v>57</v>
      </c>
      <c r="C23" s="35" t="s">
        <v>10</v>
      </c>
      <c r="D23" s="11"/>
      <c r="E23" s="12">
        <f>'[1]2015 год'!G20-'[1]Сводная за год'!M21</f>
        <v>0</v>
      </c>
      <c r="F23" s="12"/>
      <c r="G23" s="12">
        <f>'[1]2015 год'!M20-'[1]Сводная за год'!O21</f>
        <v>0</v>
      </c>
      <c r="H23" s="12">
        <f t="shared" si="25"/>
        <v>0</v>
      </c>
      <c r="I23" s="13">
        <f t="shared" si="26"/>
        <v>0</v>
      </c>
      <c r="J23" s="8">
        <f t="shared" si="0"/>
        <v>0</v>
      </c>
      <c r="K23" s="12"/>
      <c r="L23" s="16"/>
      <c r="M23" s="39">
        <v>81</v>
      </c>
      <c r="N23" s="40"/>
      <c r="O23" s="12">
        <v>141.75</v>
      </c>
      <c r="P23" s="12">
        <f t="shared" si="27"/>
        <v>0</v>
      </c>
      <c r="Q23" s="13">
        <f t="shared" si="28"/>
        <v>222.75</v>
      </c>
      <c r="R23" s="8">
        <f t="shared" si="2"/>
        <v>222.75</v>
      </c>
      <c r="S23" s="12"/>
      <c r="T23" s="12">
        <f t="shared" si="29"/>
        <v>171.67</v>
      </c>
      <c r="U23" s="12">
        <f t="shared" si="30"/>
        <v>220.36</v>
      </c>
      <c r="V23" s="12"/>
      <c r="W23" s="12">
        <v>141.75</v>
      </c>
      <c r="X23" s="17">
        <f t="shared" si="31"/>
        <v>171.67</v>
      </c>
      <c r="Y23" s="17">
        <f t="shared" si="32"/>
        <v>362.11</v>
      </c>
      <c r="Z23" s="8">
        <f t="shared" si="4"/>
        <v>190.44000000000003</v>
      </c>
      <c r="AA23" s="8"/>
      <c r="AB23" s="23"/>
    </row>
    <row r="24" spans="1:28" ht="14.25">
      <c r="A24" s="4">
        <v>6</v>
      </c>
      <c r="B24" s="7" t="s">
        <v>58</v>
      </c>
      <c r="C24" s="11" t="s">
        <v>10</v>
      </c>
      <c r="D24" s="8" t="e">
        <f>D25</f>
        <v>#REF!</v>
      </c>
      <c r="E24" s="8" t="e">
        <f>E25</f>
        <v>#REF!</v>
      </c>
      <c r="F24" s="8" t="e">
        <f>F25</f>
        <v>#REF!</v>
      </c>
      <c r="G24" s="8" t="e">
        <f>G25</f>
        <v>#REF!</v>
      </c>
      <c r="H24" s="8" t="e">
        <f>H25</f>
        <v>#REF!</v>
      </c>
      <c r="I24" s="8" t="e">
        <f>I25</f>
        <v>#REF!</v>
      </c>
      <c r="J24" s="8" t="e">
        <f t="shared" si="0"/>
        <v>#REF!</v>
      </c>
      <c r="K24" s="8" t="e">
        <f aca="true" t="shared" si="33" ref="K24:K34">I24*100/H24</f>
        <v>#REF!</v>
      </c>
      <c r="L24" s="8" t="e">
        <f>L25</f>
        <v>#REF!</v>
      </c>
      <c r="M24" s="8" t="e">
        <f>M25</f>
        <v>#REF!</v>
      </c>
      <c r="N24" s="8" t="e">
        <f>N25</f>
        <v>#REF!</v>
      </c>
      <c r="O24" s="8" t="e">
        <f>O25</f>
        <v>#REF!</v>
      </c>
      <c r="P24" s="8" t="e">
        <f>P25</f>
        <v>#REF!</v>
      </c>
      <c r="Q24" s="8" t="e">
        <f>Q25</f>
        <v>#REF!</v>
      </c>
      <c r="R24" s="8" t="e">
        <f t="shared" si="2"/>
        <v>#REF!</v>
      </c>
      <c r="S24" s="8" t="e">
        <f aca="true" t="shared" si="34" ref="S24:S34">Q24*100/P24</f>
        <v>#REF!</v>
      </c>
      <c r="T24" s="8" t="e">
        <f>T25</f>
        <v>#REF!</v>
      </c>
      <c r="U24" s="8" t="e">
        <f>U25</f>
        <v>#REF!</v>
      </c>
      <c r="V24" s="8">
        <f>V25</f>
        <v>13235.15</v>
      </c>
      <c r="W24" s="8">
        <f>W25</f>
        <v>11780.59</v>
      </c>
      <c r="X24" s="8" t="e">
        <f>X25</f>
        <v>#REF!</v>
      </c>
      <c r="Y24" s="8" t="e">
        <f>Y25</f>
        <v>#REF!</v>
      </c>
      <c r="Z24" s="8" t="e">
        <f t="shared" si="4"/>
        <v>#REF!</v>
      </c>
      <c r="AA24" s="8">
        <f aca="true" t="shared" si="35" ref="AA24:AA34">W24*100/V24</f>
        <v>89.00987144082235</v>
      </c>
      <c r="AB24" s="23"/>
    </row>
    <row r="25" spans="1:28" ht="14.25">
      <c r="A25" s="4">
        <v>7</v>
      </c>
      <c r="B25" s="7" t="s">
        <v>59</v>
      </c>
      <c r="C25" s="11" t="s">
        <v>10</v>
      </c>
      <c r="D25" s="8" t="e">
        <f>D26+D27+D28+D29+D30+D31+D32+D33+D34+#REF!+D35</f>
        <v>#REF!</v>
      </c>
      <c r="E25" s="8" t="e">
        <f>E26+E27+E28+E29+E30+E31+E32+E33+E34+#REF!+E35</f>
        <v>#REF!</v>
      </c>
      <c r="F25" s="8" t="e">
        <f>F26+F27+F28+F29+F30+F31+F32+F33+F34+#REF!+#REF!</f>
        <v>#REF!</v>
      </c>
      <c r="G25" s="8" t="e">
        <f>G26+G27+G28+G29+G30+G31+G32+G33+G34+#REF!+#REF!</f>
        <v>#REF!</v>
      </c>
      <c r="H25" s="8" t="e">
        <f>H26+H27+H28+H29+H30+H31+H32+H33+H34+#REF!+#REF!</f>
        <v>#REF!</v>
      </c>
      <c r="I25" s="8" t="e">
        <f>I26+I27+I28+I29+I30+I31+I32+I33+I34+#REF!+#REF!</f>
        <v>#REF!</v>
      </c>
      <c r="J25" s="8" t="e">
        <f t="shared" si="0"/>
        <v>#REF!</v>
      </c>
      <c r="K25" s="8" t="e">
        <f t="shared" si="33"/>
        <v>#REF!</v>
      </c>
      <c r="L25" s="8" t="e">
        <f>L26+L27+L28+L29+L30+L31+L32+L33+L34+#REF!+#REF!</f>
        <v>#REF!</v>
      </c>
      <c r="M25" s="8" t="e">
        <f>M26+M27+M28+M29+M30+M31+M32+M33+M34+#REF!+#REF!</f>
        <v>#REF!</v>
      </c>
      <c r="N25" s="8" t="e">
        <f>N26+N27+N28+N29+N30+N31+N32+N33+N34+#REF!+#REF!</f>
        <v>#REF!</v>
      </c>
      <c r="O25" s="8" t="e">
        <f>O26+O27+O28+O29+O30+O31+O32+O33+O34+#REF!+#REF!</f>
        <v>#REF!</v>
      </c>
      <c r="P25" s="8" t="e">
        <f>P26+P27+P28+P29+P30+P31+P32+P33+P34+#REF!+#REF!</f>
        <v>#REF!</v>
      </c>
      <c r="Q25" s="8" t="e">
        <f>Q26+Q27+Q28+Q29+Q30+Q31+Q32+Q33+Q34+#REF!+#REF!</f>
        <v>#REF!</v>
      </c>
      <c r="R25" s="8" t="e">
        <f t="shared" si="2"/>
        <v>#REF!</v>
      </c>
      <c r="S25" s="8" t="e">
        <f t="shared" si="34"/>
        <v>#REF!</v>
      </c>
      <c r="T25" s="8" t="e">
        <f>T26+T27+T28+T29+T30+T31+T32+T33+T34+#REF!+#REF!</f>
        <v>#REF!</v>
      </c>
      <c r="U25" s="8" t="e">
        <f>U26+U27+U28+U29+U30+U31+U32+U33+U34+#REF!+#REF!</f>
        <v>#REF!</v>
      </c>
      <c r="V25" s="8">
        <f>V26+V27+V28+V29+V30+V31+V32+V33+V34</f>
        <v>13235.15</v>
      </c>
      <c r="W25" s="8">
        <f>W26+W27+W28+W29+W30+W31+W32+W33+W34+W35</f>
        <v>11780.59</v>
      </c>
      <c r="X25" s="8" t="e">
        <f>X26+X27+X28+X29+X30+X31+X32+X33+X34+#REF!+#REF!</f>
        <v>#REF!</v>
      </c>
      <c r="Y25" s="8" t="e">
        <f>Y26+Y27+Y28+Y29+Y30+Y31+Y32+Y33+Y34+#REF!+#REF!</f>
        <v>#REF!</v>
      </c>
      <c r="Z25" s="8" t="e">
        <f t="shared" si="4"/>
        <v>#REF!</v>
      </c>
      <c r="AA25" s="8">
        <f t="shared" si="35"/>
        <v>89.00987144082235</v>
      </c>
      <c r="AB25" s="23"/>
    </row>
    <row r="26" spans="1:28" ht="14.25">
      <c r="A26" s="11" t="s">
        <v>60</v>
      </c>
      <c r="B26" s="11" t="s">
        <v>61</v>
      </c>
      <c r="C26" s="11" t="s">
        <v>10</v>
      </c>
      <c r="D26" s="11" t="s">
        <v>62</v>
      </c>
      <c r="E26" s="12">
        <f>'[1]2015 год'!G23-'[1]Сводная за год'!M24</f>
        <v>0</v>
      </c>
      <c r="F26" s="12">
        <v>3462.35</v>
      </c>
      <c r="G26" s="12">
        <f>'[1]2015 год'!M23-'[1]Сводная за год'!O24</f>
        <v>0</v>
      </c>
      <c r="H26" s="12">
        <f aca="true" t="shared" si="36" ref="H26:H34">D26+F26</f>
        <v>7617.1</v>
      </c>
      <c r="I26" s="13">
        <f aca="true" t="shared" si="37" ref="I26:I34">E26+G26</f>
        <v>0</v>
      </c>
      <c r="J26" s="8">
        <f t="shared" si="0"/>
        <v>-7617.1</v>
      </c>
      <c r="K26" s="12">
        <f t="shared" si="33"/>
        <v>0</v>
      </c>
      <c r="L26" s="24">
        <v>4445.64</v>
      </c>
      <c r="M26" s="15">
        <v>4254.02</v>
      </c>
      <c r="N26" s="16">
        <v>5186.58</v>
      </c>
      <c r="O26" s="12">
        <v>4126.13</v>
      </c>
      <c r="P26" s="12">
        <f aca="true" t="shared" si="38" ref="P26:P34">L26+N26</f>
        <v>9632.220000000001</v>
      </c>
      <c r="Q26" s="13">
        <f aca="true" t="shared" si="39" ref="Q26:Q34">M26+O26</f>
        <v>8380.150000000001</v>
      </c>
      <c r="R26" s="8">
        <f t="shared" si="2"/>
        <v>-1252.0699999999997</v>
      </c>
      <c r="S26" s="12">
        <f t="shared" si="34"/>
        <v>87.00123128416918</v>
      </c>
      <c r="T26" s="12" t="e">
        <f aca="true" t="shared" si="40" ref="T26:T34">D25+L25</f>
        <v>#REF!</v>
      </c>
      <c r="U26" s="12" t="e">
        <f aca="true" t="shared" si="41" ref="U26:U34">E25+M25</f>
        <v>#REF!</v>
      </c>
      <c r="V26" s="12">
        <v>8648.93</v>
      </c>
      <c r="W26" s="12">
        <v>5629.64</v>
      </c>
      <c r="X26" s="17" t="e">
        <f aca="true" t="shared" si="42" ref="X26:X36">T26+V26</f>
        <v>#REF!</v>
      </c>
      <c r="Y26" s="17" t="e">
        <f aca="true" t="shared" si="43" ref="Y26:Y36">U26+W26</f>
        <v>#REF!</v>
      </c>
      <c r="Z26" s="8" t="e">
        <f t="shared" si="4"/>
        <v>#REF!</v>
      </c>
      <c r="AA26" s="8">
        <f t="shared" si="35"/>
        <v>65.0905950215807</v>
      </c>
      <c r="AB26" s="23"/>
    </row>
    <row r="27" spans="1:28" ht="14.25">
      <c r="A27" s="11" t="s">
        <v>63</v>
      </c>
      <c r="B27" s="11" t="s">
        <v>32</v>
      </c>
      <c r="C27" s="11" t="s">
        <v>10</v>
      </c>
      <c r="D27" s="11" t="s">
        <v>64</v>
      </c>
      <c r="E27" s="12">
        <f>'[1]2015 год'!G24-'[1]Сводная за год'!M25</f>
        <v>640</v>
      </c>
      <c r="F27" s="12">
        <v>342.75</v>
      </c>
      <c r="G27" s="12">
        <f>'[1]2015 год'!M24-'[1]Сводная за год'!O25</f>
        <v>604.95</v>
      </c>
      <c r="H27" s="12">
        <f t="shared" si="36"/>
        <v>754.0699999999999</v>
      </c>
      <c r="I27" s="13">
        <f t="shared" si="37"/>
        <v>1244.95</v>
      </c>
      <c r="J27" s="8">
        <f t="shared" si="0"/>
        <v>490.8800000000001</v>
      </c>
      <c r="K27" s="12">
        <f t="shared" si="33"/>
        <v>165.09740475022215</v>
      </c>
      <c r="L27" s="24">
        <v>440.12</v>
      </c>
      <c r="M27" s="15">
        <v>425.87</v>
      </c>
      <c r="N27" s="16">
        <v>513.47</v>
      </c>
      <c r="O27" s="12">
        <v>408.69</v>
      </c>
      <c r="P27" s="12">
        <f t="shared" si="38"/>
        <v>953.59</v>
      </c>
      <c r="Q27" s="13">
        <f t="shared" si="39"/>
        <v>834.56</v>
      </c>
      <c r="R27" s="8">
        <f t="shared" si="2"/>
        <v>-119.03000000000009</v>
      </c>
      <c r="S27" s="12">
        <f t="shared" si="34"/>
        <v>87.51769628456674</v>
      </c>
      <c r="T27" s="12">
        <f t="shared" si="40"/>
        <v>8600.39</v>
      </c>
      <c r="U27" s="12">
        <f t="shared" si="41"/>
        <v>4254.02</v>
      </c>
      <c r="V27" s="12">
        <v>856.22</v>
      </c>
      <c r="W27" s="12">
        <v>554.09</v>
      </c>
      <c r="X27" s="17">
        <f t="shared" si="42"/>
        <v>9456.609999999999</v>
      </c>
      <c r="Y27" s="17">
        <f t="shared" si="43"/>
        <v>4808.110000000001</v>
      </c>
      <c r="Z27" s="8">
        <f t="shared" si="4"/>
        <v>-4648.499999999998</v>
      </c>
      <c r="AA27" s="8">
        <f t="shared" si="35"/>
        <v>64.71350821050665</v>
      </c>
      <c r="AB27" s="23"/>
    </row>
    <row r="28" spans="1:28" ht="14.25">
      <c r="A28" s="11" t="s">
        <v>65</v>
      </c>
      <c r="B28" s="11" t="s">
        <v>66</v>
      </c>
      <c r="C28" s="11" t="s">
        <v>10</v>
      </c>
      <c r="D28" s="11" t="s">
        <v>67</v>
      </c>
      <c r="E28" s="12">
        <f>'[1]2015 год'!G25-'[1]Сводная за год'!M26</f>
        <v>53.14999999999998</v>
      </c>
      <c r="F28" s="12">
        <v>154.35</v>
      </c>
      <c r="G28" s="12">
        <f>'[1]2015 год'!M25-'[1]Сводная за год'!O26</f>
        <v>449.9999999999998</v>
      </c>
      <c r="H28" s="12">
        <f t="shared" si="36"/>
        <v>335.6</v>
      </c>
      <c r="I28" s="13">
        <f t="shared" si="37"/>
        <v>503.14999999999975</v>
      </c>
      <c r="J28" s="8">
        <f t="shared" si="0"/>
        <v>167.54999999999973</v>
      </c>
      <c r="K28" s="12">
        <f t="shared" si="33"/>
        <v>149.92550655542306</v>
      </c>
      <c r="L28" s="21">
        <v>338.85</v>
      </c>
      <c r="M28" s="15"/>
      <c r="N28" s="16">
        <v>254.25</v>
      </c>
      <c r="O28" s="12">
        <v>21.8</v>
      </c>
      <c r="P28" s="12">
        <f t="shared" si="38"/>
        <v>593.1</v>
      </c>
      <c r="Q28" s="13">
        <f t="shared" si="39"/>
        <v>21.8</v>
      </c>
      <c r="R28" s="8">
        <f t="shared" si="2"/>
        <v>-571.3000000000001</v>
      </c>
      <c r="S28" s="12">
        <f t="shared" si="34"/>
        <v>3.6756027651323553</v>
      </c>
      <c r="T28" s="12">
        <f t="shared" si="40"/>
        <v>851.44</v>
      </c>
      <c r="U28" s="12">
        <f t="shared" si="41"/>
        <v>1065.87</v>
      </c>
      <c r="V28" s="12">
        <v>408.6</v>
      </c>
      <c r="W28" s="12">
        <v>676.48</v>
      </c>
      <c r="X28" s="17">
        <f t="shared" si="42"/>
        <v>1260.04</v>
      </c>
      <c r="Y28" s="17">
        <f t="shared" si="43"/>
        <v>1742.35</v>
      </c>
      <c r="Z28" s="8">
        <f t="shared" si="4"/>
        <v>482.30999999999995</v>
      </c>
      <c r="AA28" s="8">
        <f t="shared" si="35"/>
        <v>165.56045031815955</v>
      </c>
      <c r="AB28" s="20" t="s">
        <v>68</v>
      </c>
    </row>
    <row r="29" spans="1:28" ht="14.25">
      <c r="A29" s="11" t="s">
        <v>69</v>
      </c>
      <c r="B29" s="11" t="s">
        <v>70</v>
      </c>
      <c r="C29" s="11" t="s">
        <v>10</v>
      </c>
      <c r="D29" s="11" t="s">
        <v>71</v>
      </c>
      <c r="E29" s="12">
        <f>'[1]2015 год'!G26-'[1]Сводная за год'!M27</f>
        <v>1806.35</v>
      </c>
      <c r="F29" s="12">
        <v>125</v>
      </c>
      <c r="G29" s="12">
        <f>'[1]2015 год'!M26-'[1]Сводная за год'!O27</f>
        <v>3379.8000000000006</v>
      </c>
      <c r="H29" s="12">
        <f t="shared" si="36"/>
        <v>269.65</v>
      </c>
      <c r="I29" s="13">
        <f t="shared" si="37"/>
        <v>5186.150000000001</v>
      </c>
      <c r="J29" s="8">
        <f t="shared" si="0"/>
        <v>4916.500000000001</v>
      </c>
      <c r="K29" s="12">
        <f t="shared" si="33"/>
        <v>1923.289449286112</v>
      </c>
      <c r="L29" s="19">
        <v>133.07</v>
      </c>
      <c r="M29" s="15">
        <v>17.79</v>
      </c>
      <c r="N29" s="16">
        <v>142.26</v>
      </c>
      <c r="O29" s="12">
        <v>12.41</v>
      </c>
      <c r="P29" s="12">
        <f t="shared" si="38"/>
        <v>275.33</v>
      </c>
      <c r="Q29" s="13">
        <f t="shared" si="39"/>
        <v>30.2</v>
      </c>
      <c r="R29" s="8">
        <f t="shared" si="2"/>
        <v>-245.13</v>
      </c>
      <c r="S29" s="12">
        <f t="shared" si="34"/>
        <v>10.968655794864345</v>
      </c>
      <c r="T29" s="12">
        <f t="shared" si="40"/>
        <v>520.1</v>
      </c>
      <c r="U29" s="12">
        <f t="shared" si="41"/>
        <v>53.14999999999998</v>
      </c>
      <c r="V29" s="12">
        <v>267.26</v>
      </c>
      <c r="W29" s="12">
        <v>153.93</v>
      </c>
      <c r="X29" s="17">
        <f t="shared" si="42"/>
        <v>787.36</v>
      </c>
      <c r="Y29" s="17">
        <f t="shared" si="43"/>
        <v>207.07999999999998</v>
      </c>
      <c r="Z29" s="8">
        <f t="shared" si="4"/>
        <v>-580.28</v>
      </c>
      <c r="AA29" s="8">
        <f t="shared" si="35"/>
        <v>57.59559979046622</v>
      </c>
      <c r="AB29" s="25" t="s">
        <v>72</v>
      </c>
    </row>
    <row r="30" spans="1:28" ht="24.75">
      <c r="A30" s="11" t="s">
        <v>73</v>
      </c>
      <c r="B30" s="11" t="s">
        <v>74</v>
      </c>
      <c r="C30" s="11" t="s">
        <v>10</v>
      </c>
      <c r="D30" s="11" t="s">
        <v>75</v>
      </c>
      <c r="E30" s="12">
        <f>'[1]2015 год'!G27-'[1]Сводная за год'!M28</f>
        <v>16834.74</v>
      </c>
      <c r="F30" s="12">
        <v>16.4</v>
      </c>
      <c r="G30" s="12">
        <f>'[1]2015 год'!M27-'[1]Сводная за год'!O28</f>
        <v>21141.299999999996</v>
      </c>
      <c r="H30" s="12">
        <f t="shared" si="36"/>
        <v>43.349999999999994</v>
      </c>
      <c r="I30" s="13">
        <f t="shared" si="37"/>
        <v>37976.03999999999</v>
      </c>
      <c r="J30" s="8">
        <f t="shared" si="0"/>
        <v>37932.689999999995</v>
      </c>
      <c r="K30" s="12">
        <f t="shared" si="33"/>
        <v>87603.32179930796</v>
      </c>
      <c r="L30" s="21">
        <v>29.67</v>
      </c>
      <c r="M30" s="15"/>
      <c r="N30" s="16">
        <v>36.91</v>
      </c>
      <c r="O30" s="12"/>
      <c r="P30" s="12">
        <f t="shared" si="38"/>
        <v>66.58</v>
      </c>
      <c r="Q30" s="13">
        <f t="shared" si="39"/>
        <v>0</v>
      </c>
      <c r="R30" s="8">
        <f t="shared" si="2"/>
        <v>-66.58</v>
      </c>
      <c r="S30" s="12">
        <f t="shared" si="34"/>
        <v>0</v>
      </c>
      <c r="T30" s="12">
        <f t="shared" si="40"/>
        <v>277.72</v>
      </c>
      <c r="U30" s="12">
        <f t="shared" si="41"/>
        <v>1824.1399999999999</v>
      </c>
      <c r="V30" s="12">
        <v>53.31</v>
      </c>
      <c r="W30" s="12">
        <v>62.31</v>
      </c>
      <c r="X30" s="17">
        <f t="shared" si="42"/>
        <v>331.03000000000003</v>
      </c>
      <c r="Y30" s="17">
        <f t="shared" si="43"/>
        <v>1886.4499999999998</v>
      </c>
      <c r="Z30" s="8">
        <f t="shared" si="4"/>
        <v>1555.4199999999998</v>
      </c>
      <c r="AA30" s="8">
        <f t="shared" si="35"/>
        <v>116.8823860438942</v>
      </c>
      <c r="AB30" s="25" t="s">
        <v>76</v>
      </c>
    </row>
    <row r="31" spans="1:28" ht="24.75">
      <c r="A31" s="11" t="s">
        <v>77</v>
      </c>
      <c r="B31" s="11" t="s">
        <v>78</v>
      </c>
      <c r="C31" s="11" t="s">
        <v>10</v>
      </c>
      <c r="D31" s="11" t="s">
        <v>79</v>
      </c>
      <c r="E31" s="12">
        <f>'[1]2015 год'!G28-'[1]Сводная за год'!M29</f>
        <v>15318.230000000003</v>
      </c>
      <c r="F31" s="12">
        <v>225</v>
      </c>
      <c r="G31" s="12">
        <f>'[1]2015 год'!M28-'[1]Сводная за год'!O29</f>
        <v>19236.85</v>
      </c>
      <c r="H31" s="12">
        <f t="shared" si="36"/>
        <v>1183.4</v>
      </c>
      <c r="I31" s="13">
        <f t="shared" si="37"/>
        <v>34555.08</v>
      </c>
      <c r="J31" s="8">
        <f t="shared" si="0"/>
        <v>33371.68</v>
      </c>
      <c r="K31" s="12">
        <f t="shared" si="33"/>
        <v>2919.9830995436873</v>
      </c>
      <c r="L31" s="19">
        <v>64.98</v>
      </c>
      <c r="M31" s="15">
        <v>54.89</v>
      </c>
      <c r="N31" s="16">
        <v>96.9</v>
      </c>
      <c r="O31" s="12">
        <f>11.52+95.6</f>
        <v>107.11999999999999</v>
      </c>
      <c r="P31" s="12">
        <f t="shared" si="38"/>
        <v>161.88</v>
      </c>
      <c r="Q31" s="13">
        <f t="shared" si="39"/>
        <v>162.01</v>
      </c>
      <c r="R31" s="8">
        <f t="shared" si="2"/>
        <v>0.12999999999999545</v>
      </c>
      <c r="S31" s="12">
        <f t="shared" si="34"/>
        <v>100.08030639980232</v>
      </c>
      <c r="T31" s="12">
        <f t="shared" si="40"/>
        <v>56.620000000000005</v>
      </c>
      <c r="U31" s="12">
        <f t="shared" si="41"/>
        <v>16834.74</v>
      </c>
      <c r="V31" s="12">
        <v>321.9</v>
      </c>
      <c r="W31" s="12">
        <v>197.59</v>
      </c>
      <c r="X31" s="17">
        <f t="shared" si="42"/>
        <v>378.52</v>
      </c>
      <c r="Y31" s="17">
        <f t="shared" si="43"/>
        <v>17032.33</v>
      </c>
      <c r="Z31" s="8">
        <f t="shared" si="4"/>
        <v>16653.81</v>
      </c>
      <c r="AA31" s="8">
        <f t="shared" si="35"/>
        <v>61.38241689965828</v>
      </c>
      <c r="AB31" s="25" t="s">
        <v>76</v>
      </c>
    </row>
    <row r="32" spans="1:28" ht="24.75">
      <c r="A32" s="11" t="s">
        <v>80</v>
      </c>
      <c r="B32" s="11" t="s">
        <v>81</v>
      </c>
      <c r="C32" s="11" t="s">
        <v>10</v>
      </c>
      <c r="D32" s="11" t="s">
        <v>82</v>
      </c>
      <c r="E32" s="12">
        <f>'[1]2015 год'!G29-'[1]Сводная за год'!M30</f>
        <v>1516.5100000000002</v>
      </c>
      <c r="F32" s="12">
        <v>70.85</v>
      </c>
      <c r="G32" s="12">
        <f>'[1]2015 год'!M29-'[1]Сводная за год'!O30</f>
        <v>1904.4500000000003</v>
      </c>
      <c r="H32" s="12">
        <f t="shared" si="36"/>
        <v>126.94999999999999</v>
      </c>
      <c r="I32" s="13">
        <f t="shared" si="37"/>
        <v>3420.9600000000005</v>
      </c>
      <c r="J32" s="8">
        <f t="shared" si="0"/>
        <v>3294.0100000000007</v>
      </c>
      <c r="K32" s="12">
        <f t="shared" si="33"/>
        <v>2694.7302087436005</v>
      </c>
      <c r="L32" s="21">
        <v>39.51</v>
      </c>
      <c r="M32" s="15">
        <v>7.01</v>
      </c>
      <c r="N32" s="16">
        <v>45.59</v>
      </c>
      <c r="O32" s="12">
        <v>7.01</v>
      </c>
      <c r="P32" s="12">
        <f t="shared" si="38"/>
        <v>85.1</v>
      </c>
      <c r="Q32" s="13">
        <f t="shared" si="39"/>
        <v>14.02</v>
      </c>
      <c r="R32" s="8">
        <f t="shared" si="2"/>
        <v>-71.08</v>
      </c>
      <c r="S32" s="12">
        <f t="shared" si="34"/>
        <v>16.474735605170387</v>
      </c>
      <c r="T32" s="12">
        <f t="shared" si="40"/>
        <v>1023.38</v>
      </c>
      <c r="U32" s="12">
        <f t="shared" si="41"/>
        <v>15373.120000000003</v>
      </c>
      <c r="V32" s="12">
        <v>116.44</v>
      </c>
      <c r="W32" s="12">
        <v>49.41</v>
      </c>
      <c r="X32" s="17">
        <f t="shared" si="42"/>
        <v>1139.82</v>
      </c>
      <c r="Y32" s="17">
        <f t="shared" si="43"/>
        <v>15422.530000000002</v>
      </c>
      <c r="Z32" s="8">
        <f t="shared" si="4"/>
        <v>14282.710000000003</v>
      </c>
      <c r="AA32" s="8">
        <f t="shared" si="35"/>
        <v>42.43387152181381</v>
      </c>
      <c r="AB32" s="25" t="s">
        <v>76</v>
      </c>
    </row>
    <row r="33" spans="1:28" ht="24.75">
      <c r="A33" s="11" t="s">
        <v>83</v>
      </c>
      <c r="B33" s="11" t="s">
        <v>84</v>
      </c>
      <c r="C33" s="11" t="s">
        <v>10</v>
      </c>
      <c r="D33" s="11" t="s">
        <v>85</v>
      </c>
      <c r="E33" s="12">
        <f>'[1]2015 год'!G30-'[1]Сводная за год'!M31</f>
        <v>0</v>
      </c>
      <c r="F33" s="12">
        <v>200</v>
      </c>
      <c r="G33" s="12">
        <f>'[1]2015 год'!M30-'[1]Сводная за год'!O31</f>
        <v>0</v>
      </c>
      <c r="H33" s="12">
        <f t="shared" si="36"/>
        <v>667.1</v>
      </c>
      <c r="I33" s="13">
        <f t="shared" si="37"/>
        <v>0</v>
      </c>
      <c r="J33" s="8">
        <f t="shared" si="0"/>
        <v>-667.1</v>
      </c>
      <c r="K33" s="12">
        <f t="shared" si="33"/>
        <v>0</v>
      </c>
      <c r="L33" s="19">
        <v>1462.78</v>
      </c>
      <c r="M33" s="15">
        <v>2610.35</v>
      </c>
      <c r="N33" s="16">
        <v>1587.86</v>
      </c>
      <c r="O33" s="12">
        <v>2581.19</v>
      </c>
      <c r="P33" s="12">
        <f t="shared" si="38"/>
        <v>3050.64</v>
      </c>
      <c r="Q33" s="13">
        <f t="shared" si="39"/>
        <v>5191.54</v>
      </c>
      <c r="R33" s="8">
        <f t="shared" si="2"/>
        <v>2140.9</v>
      </c>
      <c r="S33" s="12">
        <f t="shared" si="34"/>
        <v>170.17871659717306</v>
      </c>
      <c r="T33" s="12">
        <f t="shared" si="40"/>
        <v>95.61</v>
      </c>
      <c r="U33" s="12">
        <f t="shared" si="41"/>
        <v>1523.5200000000002</v>
      </c>
      <c r="V33" s="12">
        <v>1787.86</v>
      </c>
      <c r="W33" s="12">
        <v>3719.29</v>
      </c>
      <c r="X33" s="17">
        <f t="shared" si="42"/>
        <v>1883.4699999999998</v>
      </c>
      <c r="Y33" s="17">
        <f t="shared" si="43"/>
        <v>5242.81</v>
      </c>
      <c r="Z33" s="8">
        <f t="shared" si="4"/>
        <v>3359.3400000000006</v>
      </c>
      <c r="AA33" s="8">
        <f t="shared" si="35"/>
        <v>208.0302708265748</v>
      </c>
      <c r="AB33" s="25" t="s">
        <v>86</v>
      </c>
    </row>
    <row r="34" spans="1:28" ht="14.25">
      <c r="A34" s="11" t="s">
        <v>87</v>
      </c>
      <c r="B34" s="11" t="s">
        <v>88</v>
      </c>
      <c r="C34" s="11" t="s">
        <v>10</v>
      </c>
      <c r="D34" s="11" t="s">
        <v>89</v>
      </c>
      <c r="E34" s="12">
        <f>'[1]2015 год'!G31-'[1]Сводная за год'!M32</f>
        <v>2390.75</v>
      </c>
      <c r="F34" s="12">
        <v>379.3</v>
      </c>
      <c r="G34" s="12">
        <f>'[1]2015 год'!M31-'[1]Сводная за год'!O32</f>
        <v>11033.5</v>
      </c>
      <c r="H34" s="12">
        <f t="shared" si="36"/>
        <v>497.75</v>
      </c>
      <c r="I34" s="13">
        <f t="shared" si="37"/>
        <v>13424.25</v>
      </c>
      <c r="J34" s="8">
        <f t="shared" si="0"/>
        <v>12926.5</v>
      </c>
      <c r="K34" s="12">
        <f t="shared" si="33"/>
        <v>2696.9864389753893</v>
      </c>
      <c r="L34" s="21">
        <v>129.32</v>
      </c>
      <c r="M34" s="15">
        <v>121.44</v>
      </c>
      <c r="N34" s="16">
        <v>378.37</v>
      </c>
      <c r="O34" s="12">
        <v>338.14</v>
      </c>
      <c r="P34" s="12">
        <f t="shared" si="38"/>
        <v>507.69</v>
      </c>
      <c r="Q34" s="13">
        <f t="shared" si="39"/>
        <v>459.58</v>
      </c>
      <c r="R34" s="8">
        <f t="shared" si="2"/>
        <v>-48.110000000000014</v>
      </c>
      <c r="S34" s="12">
        <f t="shared" si="34"/>
        <v>90.52374480490063</v>
      </c>
      <c r="T34" s="12">
        <f t="shared" si="40"/>
        <v>1929.88</v>
      </c>
      <c r="U34" s="12">
        <f t="shared" si="41"/>
        <v>2610.35</v>
      </c>
      <c r="V34" s="12">
        <v>774.63</v>
      </c>
      <c r="W34" s="12">
        <v>723.05</v>
      </c>
      <c r="X34" s="17">
        <f t="shared" si="42"/>
        <v>2704.51</v>
      </c>
      <c r="Y34" s="17">
        <f t="shared" si="43"/>
        <v>3333.3999999999996</v>
      </c>
      <c r="Z34" s="8">
        <f t="shared" si="4"/>
        <v>628.8899999999994</v>
      </c>
      <c r="AA34" s="8">
        <f t="shared" si="35"/>
        <v>93.34133715451247</v>
      </c>
      <c r="AB34" s="25" t="s">
        <v>90</v>
      </c>
    </row>
    <row r="35" spans="1:28" ht="14.25">
      <c r="A35" s="11" t="s">
        <v>91</v>
      </c>
      <c r="B35" s="11" t="s">
        <v>92</v>
      </c>
      <c r="C35" s="11" t="s">
        <v>10</v>
      </c>
      <c r="D35" s="11"/>
      <c r="E35" s="12">
        <f>'[1]2015 год'!G32-'[1]Сводная за год'!M33</f>
        <v>1939.3000000000002</v>
      </c>
      <c r="F35" s="12"/>
      <c r="G35" s="12">
        <f>'[1]2015 год'!M32-'[1]Сводная за год'!O33</f>
        <v>0</v>
      </c>
      <c r="H35" s="12"/>
      <c r="I35" s="13"/>
      <c r="J35" s="8">
        <f t="shared" si="0"/>
        <v>0</v>
      </c>
      <c r="K35" s="12"/>
      <c r="L35" s="41"/>
      <c r="M35" s="12"/>
      <c r="N35" s="41"/>
      <c r="O35" s="42"/>
      <c r="P35" s="12"/>
      <c r="Q35" s="13"/>
      <c r="R35" s="8">
        <f t="shared" si="2"/>
        <v>0</v>
      </c>
      <c r="S35" s="12"/>
      <c r="T35" s="12">
        <f>D35+L35</f>
        <v>0</v>
      </c>
      <c r="U35" s="12">
        <f>E35+M35</f>
        <v>1939.3000000000002</v>
      </c>
      <c r="V35" s="12"/>
      <c r="W35" s="12">
        <v>14.8</v>
      </c>
      <c r="X35" s="17">
        <f t="shared" si="42"/>
        <v>0</v>
      </c>
      <c r="Y35" s="17">
        <f t="shared" si="43"/>
        <v>1954.1000000000001</v>
      </c>
      <c r="Z35" s="8">
        <f t="shared" si="4"/>
        <v>1954.1000000000001</v>
      </c>
      <c r="AA35" s="8"/>
      <c r="AB35" s="23"/>
    </row>
    <row r="36" spans="1:28" ht="14.25">
      <c r="A36" s="4">
        <v>8</v>
      </c>
      <c r="B36" s="7" t="s">
        <v>93</v>
      </c>
      <c r="C36" s="7" t="s">
        <v>10</v>
      </c>
      <c r="D36" s="27" t="e">
        <f>D6+D25</f>
        <v>#REF!</v>
      </c>
      <c r="E36" s="8" t="e">
        <f>#REF!+#REF!</f>
        <v>#REF!</v>
      </c>
      <c r="F36" s="8" t="e">
        <f>#REF!+#REF!</f>
        <v>#REF!</v>
      </c>
      <c r="G36" s="8">
        <f>'[1]2015 год'!M33-'[1]2 полугодие'!I32</f>
        <v>1100</v>
      </c>
      <c r="H36" s="8" t="e">
        <f aca="true" t="shared" si="44" ref="H36:H40">D36+F36</f>
        <v>#REF!</v>
      </c>
      <c r="I36" s="8" t="e">
        <f>#REF!+#REF!</f>
        <v>#REF!</v>
      </c>
      <c r="J36" s="8" t="e">
        <f t="shared" si="0"/>
        <v>#REF!</v>
      </c>
      <c r="K36" s="8" t="e">
        <f>I36*100/H36</f>
        <v>#REF!</v>
      </c>
      <c r="L36" s="27" t="e">
        <f>#REF!+#REF!</f>
        <v>#REF!</v>
      </c>
      <c r="M36" s="8" t="e">
        <f>#REF!+#REF!</f>
        <v>#REF!</v>
      </c>
      <c r="N36" s="8" t="e">
        <f>#REF!+#REF!</f>
        <v>#REF!</v>
      </c>
      <c r="O36" s="8" t="e">
        <f>#REF!+#REF!</f>
        <v>#REF!</v>
      </c>
      <c r="P36" s="8" t="e">
        <f>#REF!+#REF!</f>
        <v>#REF!</v>
      </c>
      <c r="Q36" s="8" t="e">
        <f>#REF!+#REF!</f>
        <v>#REF!</v>
      </c>
      <c r="R36" s="8" t="e">
        <f t="shared" si="2"/>
        <v>#REF!</v>
      </c>
      <c r="S36" s="8" t="e">
        <f>Q36*100/P36</f>
        <v>#REF!</v>
      </c>
      <c r="T36" s="27" t="e">
        <f>#REF!+#REF!</f>
        <v>#REF!</v>
      </c>
      <c r="U36" s="8" t="e">
        <f>#REF!+#REF!</f>
        <v>#REF!</v>
      </c>
      <c r="V36" s="8">
        <f>V6+V24</f>
        <v>100425.56999999999</v>
      </c>
      <c r="W36" s="8">
        <f>W6+W24</f>
        <v>120142.54999999999</v>
      </c>
      <c r="X36" s="29" t="e">
        <f t="shared" si="42"/>
        <v>#REF!</v>
      </c>
      <c r="Y36" s="29" t="e">
        <f t="shared" si="43"/>
        <v>#REF!</v>
      </c>
      <c r="Z36" s="8" t="e">
        <f t="shared" si="4"/>
        <v>#REF!</v>
      </c>
      <c r="AA36" s="8">
        <f aca="true" t="shared" si="45" ref="AA36:AA40">W36*100/V36</f>
        <v>119.63342602884902</v>
      </c>
      <c r="AB36" s="23"/>
    </row>
    <row r="37" spans="1:28" ht="14.25">
      <c r="A37" s="4">
        <v>9</v>
      </c>
      <c r="B37" s="7" t="s">
        <v>94</v>
      </c>
      <c r="C37" s="7" t="s">
        <v>10</v>
      </c>
      <c r="D37" s="7" t="s">
        <v>95</v>
      </c>
      <c r="E37" s="8">
        <f>'[1]2015 год'!G34-'[1]Сводная за год'!M35</f>
        <v>193.60000000000002</v>
      </c>
      <c r="F37" s="8">
        <v>3645</v>
      </c>
      <c r="G37" s="8">
        <f>G38-G36</f>
        <v>-1257.92</v>
      </c>
      <c r="H37" s="27">
        <f t="shared" si="44"/>
        <v>4783.93</v>
      </c>
      <c r="I37" s="26">
        <f aca="true" t="shared" si="46" ref="I37:I40">E37+G37</f>
        <v>-1064.3200000000002</v>
      </c>
      <c r="J37" s="8">
        <f t="shared" si="0"/>
        <v>-5848.25</v>
      </c>
      <c r="K37" s="8"/>
      <c r="L37" s="43"/>
      <c r="M37" s="12" t="e">
        <f>M38-M36</f>
        <v>#REF!</v>
      </c>
      <c r="N37" s="16"/>
      <c r="O37" s="12" t="e">
        <f>O38-O36</f>
        <v>#REF!</v>
      </c>
      <c r="P37" s="8">
        <f aca="true" t="shared" si="47" ref="P37:P41">L37+N37</f>
        <v>0</v>
      </c>
      <c r="Q37" s="26" t="e">
        <f aca="true" t="shared" si="48" ref="Q37:Q41">M37+O37</f>
        <v>#REF!</v>
      </c>
      <c r="R37" s="8" t="e">
        <f t="shared" si="2"/>
        <v>#REF!</v>
      </c>
      <c r="S37" s="8"/>
      <c r="T37" s="8">
        <f aca="true" t="shared" si="49" ref="T37:T39">D37+L37</f>
        <v>1138.93</v>
      </c>
      <c r="U37" s="8" t="e">
        <f aca="true" t="shared" si="50" ref="U37:U39">E37+M37</f>
        <v>#REF!</v>
      </c>
      <c r="V37" s="8">
        <f>F37+N37</f>
        <v>3645</v>
      </c>
      <c r="W37" s="8">
        <f>W38-W36</f>
        <v>-27282.249999999985</v>
      </c>
      <c r="X37" s="8">
        <f aca="true" t="shared" si="51" ref="X37:X38">H37+P37</f>
        <v>4783.93</v>
      </c>
      <c r="Y37" s="8" t="e">
        <f aca="true" t="shared" si="52" ref="Y37:Y39">I37+Q37</f>
        <v>#REF!</v>
      </c>
      <c r="Z37" s="8" t="e">
        <f t="shared" si="4"/>
        <v>#REF!</v>
      </c>
      <c r="AA37" s="8">
        <f t="shared" si="45"/>
        <v>-748.4842249657061</v>
      </c>
      <c r="AB37" s="23"/>
    </row>
    <row r="38" spans="1:28" ht="14.25">
      <c r="A38" s="4">
        <v>10</v>
      </c>
      <c r="B38" s="7" t="s">
        <v>96</v>
      </c>
      <c r="C38" s="7" t="s">
        <v>10</v>
      </c>
      <c r="D38" s="27" t="e">
        <f>D36+D37</f>
        <v>#REF!</v>
      </c>
      <c r="E38" s="8">
        <f>'[1]2015 год'!G35-'[1]Сводная за год'!M36</f>
        <v>0</v>
      </c>
      <c r="F38" s="8">
        <f>'[1]2015 год'!L35-'[1]2 полугодие'!H34</f>
        <v>0</v>
      </c>
      <c r="G38" s="8">
        <f>'[1]2015 год'!M35-'[1]2 полугодие'!I34</f>
        <v>-157.91999999999996</v>
      </c>
      <c r="H38" s="27" t="e">
        <f t="shared" si="44"/>
        <v>#REF!</v>
      </c>
      <c r="I38" s="26">
        <f t="shared" si="46"/>
        <v>-157.91999999999996</v>
      </c>
      <c r="J38" s="8" t="e">
        <f t="shared" si="0"/>
        <v>#REF!</v>
      </c>
      <c r="K38" s="8" t="e">
        <f>I38*100/H38</f>
        <v>#REF!</v>
      </c>
      <c r="L38" s="27" t="e">
        <f>L36+L37</f>
        <v>#REF!</v>
      </c>
      <c r="M38" s="8">
        <f>17711.94+41044.6+72.94+37.09+26.94</f>
        <v>58893.509999999995</v>
      </c>
      <c r="N38" s="8" t="e">
        <f>N36+N37</f>
        <v>#REF!</v>
      </c>
      <c r="O38" s="26">
        <f>34243.71+29972.81+62.75</f>
        <v>64279.270000000004</v>
      </c>
      <c r="P38" s="8" t="e">
        <f t="shared" si="47"/>
        <v>#REF!</v>
      </c>
      <c r="Q38" s="26">
        <f t="shared" si="48"/>
        <v>123172.78</v>
      </c>
      <c r="R38" s="8" t="e">
        <f t="shared" si="2"/>
        <v>#REF!</v>
      </c>
      <c r="S38" s="8" t="e">
        <f>Q38*100/P38</f>
        <v>#REF!</v>
      </c>
      <c r="T38" s="8" t="e">
        <f t="shared" si="49"/>
        <v>#REF!</v>
      </c>
      <c r="U38" s="8">
        <f t="shared" si="50"/>
        <v>58893.509999999995</v>
      </c>
      <c r="V38" s="8">
        <v>104070.57</v>
      </c>
      <c r="W38" s="8">
        <v>92860.3</v>
      </c>
      <c r="X38" s="8" t="e">
        <f t="shared" si="51"/>
        <v>#REF!</v>
      </c>
      <c r="Y38" s="8">
        <f t="shared" si="52"/>
        <v>123014.86</v>
      </c>
      <c r="Z38" s="8" t="e">
        <f t="shared" si="4"/>
        <v>#REF!</v>
      </c>
      <c r="AA38" s="8">
        <f t="shared" si="45"/>
        <v>89.22820351613332</v>
      </c>
      <c r="AB38" s="23"/>
    </row>
    <row r="39" spans="1:28" ht="15.75">
      <c r="A39" s="4">
        <v>11</v>
      </c>
      <c r="B39" s="7" t="s">
        <v>97</v>
      </c>
      <c r="C39" s="7" t="s">
        <v>98</v>
      </c>
      <c r="D39" s="44">
        <v>88.7</v>
      </c>
      <c r="E39" s="4">
        <v>73.87</v>
      </c>
      <c r="F39" s="4">
        <v>166.07</v>
      </c>
      <c r="G39" s="4">
        <v>96.71</v>
      </c>
      <c r="H39" s="8">
        <f t="shared" si="44"/>
        <v>254.76999999999998</v>
      </c>
      <c r="I39" s="26">
        <f t="shared" si="46"/>
        <v>170.57999999999998</v>
      </c>
      <c r="J39" s="8">
        <f t="shared" si="0"/>
        <v>-84.19</v>
      </c>
      <c r="K39" s="8"/>
      <c r="L39" s="44">
        <v>87.5</v>
      </c>
      <c r="M39" s="4">
        <v>92.22</v>
      </c>
      <c r="N39" s="45">
        <v>95</v>
      </c>
      <c r="O39" s="4">
        <v>99.63</v>
      </c>
      <c r="P39" s="8">
        <f t="shared" si="47"/>
        <v>182.5</v>
      </c>
      <c r="Q39" s="26">
        <f t="shared" si="48"/>
        <v>191.85</v>
      </c>
      <c r="R39" s="8"/>
      <c r="S39" s="8"/>
      <c r="T39" s="8">
        <f t="shared" si="49"/>
        <v>176.2</v>
      </c>
      <c r="U39" s="8">
        <f t="shared" si="50"/>
        <v>166.09</v>
      </c>
      <c r="V39" s="8">
        <f>F39+N39</f>
        <v>261.07</v>
      </c>
      <c r="W39" s="8">
        <f>G39+O39</f>
        <v>196.33999999999997</v>
      </c>
      <c r="X39" s="29">
        <f>T39+V39</f>
        <v>437.27</v>
      </c>
      <c r="Y39" s="8">
        <f t="shared" si="52"/>
        <v>362.42999999999995</v>
      </c>
      <c r="Z39" s="46"/>
      <c r="AA39" s="8">
        <f t="shared" si="45"/>
        <v>75.20588347952655</v>
      </c>
      <c r="AB39" s="23"/>
    </row>
    <row r="40" spans="1:28" ht="15.75" customHeight="1">
      <c r="A40" s="4">
        <v>12</v>
      </c>
      <c r="B40" s="7" t="s">
        <v>99</v>
      </c>
      <c r="C40" s="7" t="s">
        <v>100</v>
      </c>
      <c r="D40" s="47">
        <v>11.05</v>
      </c>
      <c r="E40" s="4"/>
      <c r="F40" s="4"/>
      <c r="G40" s="4"/>
      <c r="H40" s="8">
        <f t="shared" si="44"/>
        <v>11.05</v>
      </c>
      <c r="I40" s="26">
        <f t="shared" si="46"/>
        <v>0</v>
      </c>
      <c r="J40" s="8"/>
      <c r="K40" s="4"/>
      <c r="L40" s="47">
        <v>11.05</v>
      </c>
      <c r="M40" s="4"/>
      <c r="N40" s="16"/>
      <c r="O40" s="4"/>
      <c r="P40" s="8">
        <f t="shared" si="47"/>
        <v>11.05</v>
      </c>
      <c r="Q40" s="26">
        <f t="shared" si="48"/>
        <v>0</v>
      </c>
      <c r="R40" s="8"/>
      <c r="S40" s="48"/>
      <c r="T40" s="8">
        <f aca="true" t="shared" si="53" ref="T40:T41">H40+I40+N40+O40</f>
        <v>11.05</v>
      </c>
      <c r="U40" s="8">
        <f aca="true" t="shared" si="54" ref="U40:U41">K40+Q40</f>
        <v>0</v>
      </c>
      <c r="V40" s="8">
        <f aca="true" t="shared" si="55" ref="V40:V41">T40-U40</f>
        <v>11.05</v>
      </c>
      <c r="W40" s="48"/>
      <c r="X40" s="46"/>
      <c r="Y40" s="46"/>
      <c r="Z40" s="46"/>
      <c r="AA40" s="8">
        <f t="shared" si="45"/>
        <v>0</v>
      </c>
      <c r="AB40" s="23"/>
    </row>
    <row r="41" spans="1:28" ht="15.75">
      <c r="A41" s="4"/>
      <c r="B41" s="7"/>
      <c r="C41" s="7" t="s">
        <v>98</v>
      </c>
      <c r="D41" s="19"/>
      <c r="E41" s="8"/>
      <c r="F41" s="8"/>
      <c r="G41" s="8"/>
      <c r="H41" s="8"/>
      <c r="I41" s="26"/>
      <c r="J41" s="8"/>
      <c r="K41" s="8"/>
      <c r="L41" s="19"/>
      <c r="M41" s="8"/>
      <c r="N41" s="16"/>
      <c r="O41" s="8"/>
      <c r="P41" s="8">
        <f t="shared" si="47"/>
        <v>0</v>
      </c>
      <c r="Q41" s="26">
        <f t="shared" si="48"/>
        <v>0</v>
      </c>
      <c r="R41" s="8"/>
      <c r="S41" s="48"/>
      <c r="T41" s="8">
        <f t="shared" si="53"/>
        <v>0</v>
      </c>
      <c r="U41" s="8">
        <f t="shared" si="54"/>
        <v>0</v>
      </c>
      <c r="V41" s="8">
        <f t="shared" si="55"/>
        <v>0</v>
      </c>
      <c r="W41" s="48"/>
      <c r="X41" s="46"/>
      <c r="Y41" s="46"/>
      <c r="Z41" s="46"/>
      <c r="AA41" s="8"/>
      <c r="AB41" s="23"/>
    </row>
    <row r="42" spans="1:28" ht="15.75">
      <c r="A42" s="4">
        <v>12</v>
      </c>
      <c r="B42" s="7" t="s">
        <v>101</v>
      </c>
      <c r="C42" s="7" t="s">
        <v>102</v>
      </c>
      <c r="D42" s="19"/>
      <c r="E42" s="8"/>
      <c r="F42" s="8"/>
      <c r="G42" s="8"/>
      <c r="H42" s="8"/>
      <c r="I42" s="26"/>
      <c r="J42" s="8"/>
      <c r="K42" s="8"/>
      <c r="L42" s="19"/>
      <c r="M42" s="8"/>
      <c r="N42" s="16"/>
      <c r="O42" s="8"/>
      <c r="P42" s="8"/>
      <c r="Q42" s="26"/>
      <c r="R42" s="8"/>
      <c r="S42" s="48"/>
      <c r="T42" s="8"/>
      <c r="U42" s="8"/>
      <c r="V42" s="8">
        <f>V36/V39</f>
        <v>384.6691308844371</v>
      </c>
      <c r="W42" s="8">
        <f>W36/W39</f>
        <v>611.9107161047164</v>
      </c>
      <c r="X42" s="46"/>
      <c r="Y42" s="46"/>
      <c r="Z42" s="46"/>
      <c r="AA42" s="8">
        <f aca="true" t="shared" si="56" ref="AA42:AA43">W42*100/V42</f>
        <v>159.07455706097392</v>
      </c>
      <c r="AB42" s="23"/>
    </row>
    <row r="43" spans="1:28" ht="14.25">
      <c r="A43" s="4">
        <v>13</v>
      </c>
      <c r="B43" s="7" t="s">
        <v>103</v>
      </c>
      <c r="C43" s="7" t="s">
        <v>102</v>
      </c>
      <c r="D43" s="27" t="e">
        <f>D38/D39</f>
        <v>#REF!</v>
      </c>
      <c r="E43" s="8">
        <f>E38/E39</f>
        <v>0</v>
      </c>
      <c r="F43" s="8">
        <f>F38/F39</f>
        <v>0</v>
      </c>
      <c r="G43" s="8">
        <f>G38/G39</f>
        <v>-1.6329231723710058</v>
      </c>
      <c r="H43" s="8" t="e">
        <f>H38/H39</f>
        <v>#REF!</v>
      </c>
      <c r="I43" s="8">
        <f>I38/I39</f>
        <v>-0.9257826239887441</v>
      </c>
      <c r="J43" s="8"/>
      <c r="K43" s="27"/>
      <c r="L43" s="8" t="e">
        <f>L38/L39</f>
        <v>#REF!</v>
      </c>
      <c r="M43" s="8">
        <f>M38/M39</f>
        <v>638.6197137280416</v>
      </c>
      <c r="N43" s="8" t="e">
        <f>N38/N39</f>
        <v>#REF!</v>
      </c>
      <c r="O43" s="8"/>
      <c r="P43" s="8" t="e">
        <f>P38/P39</f>
        <v>#REF!</v>
      </c>
      <c r="Q43" s="8">
        <f>Q38/Q39</f>
        <v>642.0264790200678</v>
      </c>
      <c r="R43" s="8"/>
      <c r="S43" s="8"/>
      <c r="T43" s="8" t="e">
        <f>T38/T39</f>
        <v>#REF!</v>
      </c>
      <c r="U43" s="8">
        <f>U38/U39</f>
        <v>354.58793425251366</v>
      </c>
      <c r="V43" s="8">
        <f>V38/V39</f>
        <v>398.6309035890758</v>
      </c>
      <c r="W43" s="8">
        <f>W38/W39</f>
        <v>472.9566058877458</v>
      </c>
      <c r="X43" s="8" t="e">
        <f>X38/X39</f>
        <v>#REF!</v>
      </c>
      <c r="Y43" s="8">
        <f>Y38/Y39</f>
        <v>339.41688050106234</v>
      </c>
      <c r="Z43" s="8"/>
      <c r="AA43" s="8">
        <f t="shared" si="56"/>
        <v>118.6452434142657</v>
      </c>
      <c r="AB43" s="49"/>
    </row>
    <row r="46" ht="14.25"/>
  </sheetData>
  <sheetProtection selectLockedCells="1" selectUnlockedCells="1"/>
  <mergeCells count="3">
    <mergeCell ref="B3:AB3"/>
    <mergeCell ref="A40:A41"/>
    <mergeCell ref="B40:B41"/>
  </mergeCells>
  <printOptions/>
  <pageMargins left="0.39791666666666664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/>
  <cp:lastPrinted>2016-04-14T07:12:25Z</cp:lastPrinted>
  <dcterms:created xsi:type="dcterms:W3CDTF">2016-04-13T05:30:45Z</dcterms:created>
  <dcterms:modified xsi:type="dcterms:W3CDTF">2016-04-14T07:44:45Z</dcterms:modified>
  <cp:category/>
  <cp:version/>
  <cp:contentType/>
  <cp:contentStatus/>
  <cp:revision>5</cp:revision>
</cp:coreProperties>
</file>